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180" windowHeight="7410" tabRatio="898" activeTab="2"/>
  </bookViews>
  <sheets>
    <sheet name="мун.задание" sheetId="1" r:id="rId1"/>
    <sheet name="вспомогательная таблица" sheetId="2" r:id="rId2"/>
    <sheet name="прил.1+2" sheetId="3" r:id="rId3"/>
    <sheet name="прил.3" sheetId="4" r:id="rId4"/>
    <sheet name="прил.4" sheetId="5" r:id="rId5"/>
    <sheet name="прил.5" sheetId="6" r:id="rId6"/>
    <sheet name="прил.6" sheetId="7" r:id="rId7"/>
    <sheet name="свод " sheetId="8" r:id="rId8"/>
    <sheet name="проверка" sheetId="9" r:id="rId9"/>
    <sheet name="касса" sheetId="10" state="hidden" r:id="rId10"/>
    <sheet name="отчет 1433-2" sheetId="11" state="hidden" r:id="rId11"/>
    <sheet name="отчет1433-1" sheetId="12" state="hidden" r:id="rId12"/>
    <sheet name="1433-9мес" sheetId="13" state="hidden" r:id="rId13"/>
    <sheet name="касса 2014" sheetId="14" r:id="rId14"/>
    <sheet name="1433" sheetId="15" r:id="rId15"/>
  </sheets>
  <externalReferences>
    <externalReference r:id="rId18"/>
    <externalReference r:id="rId19"/>
  </externalReferences>
  <definedNames>
    <definedName name="_xlnm.Print_Titles" localSheetId="7">'свод '!$8:$8</definedName>
    <definedName name="_xlnm.Print_Area" localSheetId="14">'1433'!$A$1:$N$154</definedName>
    <definedName name="_xlnm.Print_Area" localSheetId="1">'вспомогательная таблица'!$B$1:$T$44</definedName>
    <definedName name="_xlnm.Print_Area" localSheetId="9">'касса'!$A$1:$S$31</definedName>
    <definedName name="_xlnm.Print_Area" localSheetId="13">'касса 2014'!$A$1:$T$43</definedName>
    <definedName name="_xlnm.Print_Area" localSheetId="0">'мун.задание'!$A$1:$S$245</definedName>
    <definedName name="_xlnm.Print_Area" localSheetId="10">'отчет 1433-2'!#REF!</definedName>
    <definedName name="_xlnm.Print_Area" localSheetId="2">'прил.1+2'!$A$1:$R$79</definedName>
    <definedName name="_xlnm.Print_Area" localSheetId="3">'прил.3'!$A$1:$H$119</definedName>
    <definedName name="_xlnm.Print_Area" localSheetId="5">'прил.5'!$A$1:$G$44</definedName>
    <definedName name="_xlnm.Print_Area" localSheetId="6">'прил.6'!$A$1:$G$25</definedName>
    <definedName name="_xlnm.Print_Area" localSheetId="8">'проверка'!$A$1:$G$29</definedName>
    <definedName name="_xlnm.Print_Area" localSheetId="7">'свод '!$A$1:$F$165</definedName>
  </definedNames>
  <calcPr fullCalcOnLoad="1"/>
</workbook>
</file>

<file path=xl/sharedStrings.xml><?xml version="1.0" encoding="utf-8"?>
<sst xmlns="http://schemas.openxmlformats.org/spreadsheetml/2006/main" count="1371" uniqueCount="461">
  <si>
    <t>3. Правовые основания предоставления муниципальной услуги:</t>
  </si>
  <si>
    <t>Наименование расходного обязательства в соответствии с реестром раходных обязательств города Пензы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</si>
  <si>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</si>
  <si>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</si>
  <si>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</si>
  <si>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</si>
  <si>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</si>
  <si>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</si>
  <si>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</si>
  <si>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Финансированиерасходов, связанных с предоставлением компенсации части родительской (компенсации) за содержание детей в муниципальныхобразовательных учреждениях, реализующих программу дошкольногообразования, является расходным обязательствомсубъектов Российской Федерации 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</si>
  <si>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</si>
  <si>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</si>
  <si>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</si>
  <si>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</si>
  <si>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4. Плановый объем оказываемых муниципальных услуг (в натуральных показателях):</t>
  </si>
  <si>
    <t>Наименование муниципальной услуги (элемента детацизации)</t>
  </si>
  <si>
    <t>Объем оказания услуги по месяцам &lt;*&gt;</t>
  </si>
  <si>
    <t>Объем услуг за год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</si>
  <si>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 xml:space="preserve"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  </t>
    </r>
    <r>
      <rPr>
        <sz val="10"/>
        <color indexed="8"/>
        <rFont val="Times New Roman"/>
        <family val="1"/>
      </rPr>
      <t>в том числе:</t>
    </r>
  </si>
  <si>
    <t>Затраты, непосредственно связанные с оказанием муниципальной услуги, &lt;воспитанники&gt;</t>
  </si>
  <si>
    <t>Затраты, на общехозяйственные нужды, &lt;воспитанники&gt;</t>
  </si>
  <si>
    <t>Затраты на содержание имущества, &lt;воспитанники&gt;</t>
  </si>
  <si>
    <t>&lt;*&gt;</t>
  </si>
  <si>
    <t>по кварталам, в случае выбора квартальной детацизации объема услуг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</si>
  <si>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</si>
  <si>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 Плановый объем оказываемых муниципальных услуг (в стоимостных показателях).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</si>
  <si>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</si>
  <si>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Год</t>
  </si>
  <si>
    <t>Объем услуг за год, руб.</t>
  </si>
  <si>
    <t xml:space="preserve">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</si>
  <si>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</si>
  <si>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</si>
  <si>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Объем оказания услуги по месяцам &lt;*&gt;, руб.</t>
  </si>
  <si>
    <t>Норматив затрат на единицу услуги</t>
  </si>
  <si>
    <t>Сумма затрат на предоставление услуги</t>
  </si>
  <si>
    <t>Затраты на содержание имущества, &lt;рубли&gt;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</si>
  <si>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</si>
  <si>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</si>
  <si>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</si>
  <si>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r>
      <t>Совокупный объем предоставления услуги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</si>
  <si>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</si>
  <si>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</si>
  <si>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</si>
  <si>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</si>
  <si>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Пензы, и здания Управления образования города Пензы на 2010-2012 г.г."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</si>
  <si>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</si>
  <si>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</si>
  <si>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>Ведомственная целевая программа развития "Дошкольное детство (2011-2013 гг.)"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</si>
  <si>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</si>
  <si>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</si>
  <si>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</si>
  <si>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</si>
  <si>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Ограничение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</si>
  <si>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</si>
  <si>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</si>
  <si>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</si>
  <si>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</si>
  <si>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</si>
  <si>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</si>
  <si>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</si>
  <si>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Поддержание температуры воздуха в Учреждении</t>
  </si>
  <si>
    <t xml:space="preserve">Предупреждение травматизма детей </t>
  </si>
  <si>
    <t>отсутствие травм</t>
  </si>
  <si>
    <t>Внедрение комплекса закаливающих мероприятий с использованием природных факторов (вода, воздух, солнечные  лучи)</t>
  </si>
  <si>
    <t>не менее 3 видов</t>
  </si>
  <si>
    <t>не менее 5 форм</t>
  </si>
  <si>
    <t>6.2. Годовые показатели оценки качества муниципальной услуги &lt;**&gt;</t>
  </si>
  <si>
    <t>Общий уровень укомплектованности кадрами по штатному   расписанию</t>
  </si>
  <si>
    <t>не менее 95%</t>
  </si>
  <si>
    <t>Использование детской мебели с учетом антропометрических показателей</t>
  </si>
  <si>
    <t>не менее 2 размеров</t>
  </si>
  <si>
    <t>Снижение среднегодового количества дней,  пропущенных одним ребёнком по болезни</t>
  </si>
  <si>
    <t>не более 14,5 дня</t>
  </si>
  <si>
    <t>Доля потребителей Услуги, удовлетворённых условиями и качеством предоставления Услуги)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</si>
  <si>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</si>
  <si>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</si>
  <si>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</si>
  <si>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</si>
  <si>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</si>
  <si>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</si>
  <si>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</si>
  <si>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образовательного учреждении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</si>
  <si>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</si>
  <si>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</si>
  <si>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</si>
  <si>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</si>
  <si>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</si>
  <si>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В соответствии со стандартом качества предоставляемой услуги, согласно постановления Администрации города Пензы № 682 от 19.05.2009 г.ОБ УТВЕРЖДЕНИИ СТАНДАРТА КАЧЕСТВА ПРЕДОСТАВЛЕНИЯ МУНИЦИПАЛЬНОЙ УСЛУГИ " ОРГАНИЗАЦИЯ ПРЕДОСТАВЛЕНИЯ ОБЩЕДОСТУПНОГО БЕСПАТНОГО ДОШКОЛЬНОГО ОБРАЗОВАНИЯ И ВОСПИТАНИЯ, СОДЕРЖАНИЕ РЕБЕНКА В ДОШКОЛЬНОМ ОБРАЗОВАТЕЛЬНОМ УЧРЕЖДЕНИИ" НА ТЕРРИТОРИИ ГОРОДА ПЕНЗЫ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</si>
  <si>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</si>
  <si>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</si>
  <si>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</si>
  <si>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11. Порядок контроля за исполнением муниципального задания, в том числе, условия и порядок его досрочного прекращения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</si>
  <si>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</si>
  <si>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 Требования к отчетности об исполнении муниципального задания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</si>
  <si>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</si>
  <si>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</si>
  <si>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</si>
  <si>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</si>
  <si>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</si>
  <si>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</si>
  <si>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Начальник Управления образования</t>
  </si>
  <si>
    <t>(Ф.И.О.)</t>
  </si>
  <si>
    <t>Дата</t>
  </si>
  <si>
    <t>Подпись</t>
  </si>
  <si>
    <t>Приложение №2</t>
  </si>
  <si>
    <t>Отчет</t>
  </si>
  <si>
    <t>о выполнении муниципального задания на оказание муниципальной услуги (выполнение работы)</t>
  </si>
  <si>
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</si>
  <si>
    <r>
      <t xml:space="preserve">Наименование муниципального учреждения </t>
    </r>
    <r>
      <rPr>
        <u val="single"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. </t>
    </r>
  </si>
  <si>
    <t>1. Сведения об оказании муниципальной услуги</t>
  </si>
  <si>
    <t>1.1. Натуральные показатели объема оказания муниципальных услуг</t>
  </si>
  <si>
    <t>Наименование муниципальной услуги (показателя детализации, услуги в составе муниципальной услуги)</t>
  </si>
  <si>
    <t>Объем услуг нарастающим итогом с начала года</t>
  </si>
  <si>
    <t>Объем оказания услуг по месяцам отчетного периода (квартала)</t>
  </si>
  <si>
    <t>План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</si>
  <si>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в том числе:
</t>
    </r>
  </si>
  <si>
    <t xml:space="preserve">Затраты, непосредственно связанные с оказанием муниципальной услуги
</t>
  </si>
  <si>
    <t xml:space="preserve">Затраты, на общехозяйственные нужды
</t>
  </si>
  <si>
    <t>Затраты на содержание имущества</t>
  </si>
  <si>
    <t>Факт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</si>
  <si>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в том числе:
</t>
    </r>
  </si>
  <si>
    <t>1.2. Стоимостные показатели объема оказания муниципальной услуги</t>
  </si>
  <si>
    <t>Объем услуг нарастающим итогом с начала года, тыс.руб.</t>
  </si>
  <si>
    <t>Объем оказания услуг по месяцам отчетного периода (квартала), тыс.руб.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</si>
  <si>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 учетом всех способов расчета стоимости и параметров детализации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</si>
  <si>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рассчитанный нормативным способом, </t>
    </r>
    <r>
      <rPr>
        <sz val="10"/>
        <rFont val="Times New Roman"/>
        <family val="1"/>
      </rPr>
      <t xml:space="preserve">в том числе:
</t>
    </r>
  </si>
  <si>
    <t>Затраты, на общехозяйственные нужды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</si>
  <si>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рассчитанный способом индексации (прямого счета)</t>
    </r>
    <r>
      <rPr>
        <sz val="10"/>
        <rFont val="Times New Roman"/>
        <family val="1"/>
      </rPr>
      <t>, в том числе: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</si>
  <si>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рассчитанный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программно-целевым способом</t>
    </r>
    <r>
      <rPr>
        <sz val="10"/>
        <rFont val="Times New Roman"/>
        <family val="1"/>
      </rPr>
      <t>, в том числе:</t>
    </r>
  </si>
  <si>
    <t xml:space="preserve">Мероприятия по выполнению наказов избирателей в области дошкольного образования, поступивших депутатам Пензенской городской Думы </t>
  </si>
  <si>
    <t>Долгосрочная целевая программа Энергосбережения и повышения энергоэффективности в городе Пензе на период 2010-2020 годов</t>
  </si>
  <si>
    <t>2. Сведения о качестве оказываемых муниципальных услуг</t>
  </si>
  <si>
    <t>2.1. Наличие в отчетном периоде жалоб на качество услуг</t>
  </si>
  <si>
    <t>№ п/п</t>
  </si>
  <si>
    <t>Кем подана жалоба</t>
  </si>
  <si>
    <t>Содержание жалобы</t>
  </si>
  <si>
    <t>нет</t>
  </si>
  <si>
    <t>2.2. Наличие в отчетном периоде замечаний к качеству услуг со стороны контролирующих органов</t>
  </si>
  <si>
    <t>Контролирующий орган и дата проверки</t>
  </si>
  <si>
    <t>Содержание замечания</t>
  </si>
  <si>
    <t>2.3. Индикаторы оценки качества оказания муниципальных услуг</t>
  </si>
  <si>
    <t>Наименование индикатора оценки качества муниципальной услуги</t>
  </si>
  <si>
    <t>Фактическое значение показателя</t>
  </si>
  <si>
    <t>+21-+24 в групповом помещении, +19-+20 в спальном помещении</t>
  </si>
  <si>
    <t>3. Программа действий (мероприятий) учреждений по оказанию муниципальных услуг &lt;*&gt;</t>
  </si>
  <si>
    <t>Наименование мероприятия</t>
  </si>
  <si>
    <t>Затраты на реализацию мероприятия</t>
  </si>
  <si>
    <t>Фактические результаты (количество оказанных услуг)</t>
  </si>
  <si>
    <t>В случае отсутствия стандартов качества предоставления муниципальных услуг в отчет об исполнении муниципального задания включается</t>
  </si>
  <si>
    <t>отчет о фактической реализации программы действий (мероприятий) учреждения по оказанию муниципальных услуг</t>
  </si>
  <si>
    <t>4. Характеристика факторов, повлиявших на отклонение фактических результатов выполнения муниципального задания от запланированных:</t>
  </si>
  <si>
    <t>5. Характеристика перспектив выполнения муниципальными учреждениями заданий в соответствии с утвержденными объемами задания и порядком оказания муниципальных услуг:</t>
  </si>
  <si>
    <t>6. Характеристика состояния имущества, эксплуатируемого муниципальными учреждениями:</t>
  </si>
  <si>
    <t>*</t>
  </si>
  <si>
    <t>кол-во педагогических ставок</t>
  </si>
  <si>
    <t>Оклад с учетом k специфики</t>
  </si>
  <si>
    <t>k стимулирования</t>
  </si>
  <si>
    <t>кол-во ставок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</si>
  <si>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</si>
  <si>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</si>
  <si>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</si>
  <si>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ФЗП в мес</t>
  </si>
  <si>
    <t>без стимуляции</t>
  </si>
  <si>
    <t>стимуляция</t>
  </si>
  <si>
    <t xml:space="preserve">вопитатели </t>
  </si>
  <si>
    <t>ставки</t>
  </si>
  <si>
    <t>затраты на  начисления на выплаты по оплате труда  персонала,не  принимающего непосредственное участие в оказании муниципальной услуги</t>
  </si>
  <si>
    <r>
      <t>на период с</t>
    </r>
    <r>
      <rPr>
        <u val="single"/>
        <sz val="12"/>
        <rFont val="Times New Roman"/>
        <family val="1"/>
      </rPr>
      <t xml:space="preserve"> 01.01.2013 г.</t>
    </r>
    <r>
      <rPr>
        <sz val="12"/>
        <rFont val="Times New Roman"/>
        <family val="1"/>
      </rPr>
      <t xml:space="preserve">   по </t>
    </r>
    <r>
      <rPr>
        <u val="single"/>
        <sz val="12"/>
        <rFont val="Times New Roman"/>
        <family val="1"/>
      </rPr>
      <t>31.12.2013 г.</t>
    </r>
  </si>
  <si>
    <t>2013год</t>
  </si>
  <si>
    <t>Злектронная отчетность</t>
  </si>
  <si>
    <t>Заведующая МБДОУ № 106</t>
  </si>
  <si>
    <t xml:space="preserve">муниципальное бюджетное дошкольное образовательное учреждение </t>
  </si>
  <si>
    <t>детский сад компенсирующего вида № 106 г.Пензы</t>
  </si>
  <si>
    <t>кассовые расходы по  __МБДОУ детский сад №  106 по месяцам.</t>
  </si>
  <si>
    <r>
      <t>за 2</t>
    </r>
    <r>
      <rPr>
        <u val="single"/>
        <sz val="12"/>
        <rFont val="Times New Roman"/>
        <family val="1"/>
      </rPr>
      <t xml:space="preserve"> квартал 2013 год</t>
    </r>
  </si>
  <si>
    <r>
      <t>за 1</t>
    </r>
    <r>
      <rPr>
        <u val="single"/>
        <sz val="12"/>
        <rFont val="Times New Roman"/>
        <family val="1"/>
      </rPr>
      <t xml:space="preserve"> квартал 2013 год</t>
    </r>
  </si>
  <si>
    <r>
      <t>за 3</t>
    </r>
    <r>
      <rPr>
        <u val="single"/>
        <sz val="12"/>
        <rFont val="Times New Roman"/>
        <family val="1"/>
      </rPr>
      <t xml:space="preserve"> квартал 2013 год</t>
    </r>
  </si>
  <si>
    <t>п/п находятся в казначействе</t>
  </si>
  <si>
    <t>планируется выполнить в полном объеме муниципальное задание за 6 месяцев 2013 года в течение 3 квартала 2013 года</t>
  </si>
  <si>
    <t>удовлнтворительное</t>
  </si>
  <si>
    <t>планируется выполнить в полном объеме муниципальное задание за 9 месяцев 2013 года в течение 4 квартала 2013 года</t>
  </si>
  <si>
    <t>удовлетворительное</t>
  </si>
  <si>
    <t>Затраты, непосредственно связанные с оказанием муниципальной услуги, за счет бюджета города &lt;рубли&gt;</t>
  </si>
  <si>
    <t>Затраты, на общехозяйственные нужды,за счет бюджета города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</si>
  <si>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</si>
  <si>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 за счет бюджета Пензенской области &lt;рубли&gt;</t>
  </si>
  <si>
    <t>бюджет Пензенской области</t>
  </si>
  <si>
    <t>бюджет города</t>
  </si>
  <si>
    <t>хоз. Расходы</t>
  </si>
  <si>
    <t>прочие расходы</t>
  </si>
  <si>
    <t>учебные расходы</t>
  </si>
  <si>
    <t>перевыпуск сетификата ЭЦП</t>
  </si>
  <si>
    <t>1.1 В том числе затраты, непосредственно связанные с оказанием муниципальной услуги. (за счет бюджета Пензенской области)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</si>
  <si>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</si>
  <si>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доп. проф. образование педагогических работников</t>
  </si>
  <si>
    <t xml:space="preserve"> затраты на доп. проф. образование педагогических работников</t>
  </si>
  <si>
    <t>Обслуживание 1С бухгалтерии</t>
  </si>
  <si>
    <t>Голодяев Ю.А.</t>
  </si>
  <si>
    <t>2.1.2 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</si>
  <si>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Определение нормативных затрат по  __МБДОУ детский сад №        по месяцам.</t>
  </si>
  <si>
    <t>тех обслуживание приборов учета ТЭР</t>
  </si>
  <si>
    <t>тех.обслуживание кнопки пожарной сигнализации</t>
  </si>
  <si>
    <t>электронная отчетность</t>
  </si>
  <si>
    <t>перевыпуск ЭЦП</t>
  </si>
  <si>
    <t>Определение нормативных затрат по  __МБДОУ детский сад № 120   по месяцам.</t>
  </si>
  <si>
    <t>итого по блоку 1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</si>
  <si>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</si>
  <si>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</si>
  <si>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Общий уровень укомплектованности кадрами по штатному расписанию</t>
  </si>
  <si>
    <t>Снижение среднегодового количества дней, пропущенных одним ребенком по болезни</t>
  </si>
  <si>
    <t>Использование в режиме дня разных форм огранизации двигательной активности детей</t>
  </si>
  <si>
    <t>Доля потребителей Услуги, удовлетвореннных условиями и качеством предоставления Услуги</t>
  </si>
  <si>
    <t>Субвенция</t>
  </si>
  <si>
    <t>Субсидия</t>
  </si>
  <si>
    <t xml:space="preserve">Затраты, непосредственно связанные с оказанием муниципальной услуги, за счет бюджета города Пензы
</t>
  </si>
  <si>
    <t>Затраты, непосредственно связанные с оказанием муниципальной услуги, за счет бюджета Пензенской области</t>
  </si>
  <si>
    <t>Затраты, на общехозяйственные нужды, за счет бюджет города Пензы</t>
  </si>
  <si>
    <t>Затраты, на общехозяйственные нужды, за счет бюджета Пензенской области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</si>
  <si>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</si>
  <si>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</si>
  <si>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Кабанова Н.А.</t>
  </si>
  <si>
    <t>Калякина Г.А.</t>
  </si>
  <si>
    <t>замер сопротивления изоляции</t>
  </si>
  <si>
    <t>тех.обслуживание тревожной кнопки</t>
  </si>
  <si>
    <t>ренген</t>
  </si>
  <si>
    <t>аттестация рабочих мест</t>
  </si>
  <si>
    <t>утилизация отходов ртутосодержащих ламп</t>
  </si>
  <si>
    <t>моющие средства</t>
  </si>
  <si>
    <t>хоз.средства</t>
  </si>
  <si>
    <t>канелярские товары</t>
  </si>
  <si>
    <t>мягкий инвентарь</t>
  </si>
  <si>
    <t>посуда</t>
  </si>
  <si>
    <t>Заведующая МБДОУ №17 г.Пензы</t>
  </si>
  <si>
    <t>МБДОУ детский сад № 17 г. Пензы</t>
  </si>
  <si>
    <t xml:space="preserve">1). Конституция РФ, ст.43.;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Российской Федерации от 10.07.1992 N 3266-1 "Об образовании", статья 5, пункт 3; статья 31, пункт 1, подпункты 2, 4.; статья 52.1. пункты 1, 2; статья 52.2. пункт 3 (с изм. и доп.);
4).Закон РФ от 24.07.1998 г. N 124-ФЗ "Об основных гарантиях прав ребенка в Российской Федерации", ст. 13 (с изм. и доп.);
5) Устав города Пензы (с изм. и доп.), принят решением Пензенской городской Думы от 30.06.2005 N 130-12/4: статья 5, пункт 1, подпункт 13, статья 39, пункт 1. подпункты 1.1., 1.2.а, 1.6., 1.9., 1.8., 1.20.;
6).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2.2.2., 2.2.4., 2.2.5., 2.2.6., 2.2.9.;
7). Положение о порядке комплектования муниципальных образовательных учреждениях# города Пензы, реализующих общеобразовательные программы дошкольного образования, утвержденного приказом Управления образования от 29.05.2007 года N 199/1.;
8). Постановление Правительства РФ от 20.12.2006 г. N 849 "О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образования";
9). Постановление Правительства Пензенской области от 26.02.2007 года N 125-пП "Об утверждении порядка выплаты компенсации родителям (законным представителям) за содержание детей в государственных и муниципальных дошкольных образовательных учреждениях, реализующих основную общеобразовательную программу дошкольного образования";
10). Постановление Главы администрации города Пензы от 13.02.2006 года N 113 "Об упорядочении размера платы, взимаемой за содержание детей в муниципальных дошкольных образовательных учреждениях г. Пензы" (с изм. и доп.)
11). Постановление главы администрации города Пензы от 27.10.2008 N 1805 "Об установлении размера платы, взимаемой с родителей за содержание детей в муниципальных образовательных учреждениях города Пензы, реализующих основную общеобразовательную программу дошкольного образования";
12). Положение о порядке взимания с родителей (законных представителей) платы за содержание детей и выплаты компенсации родителям (законным представителям) части родительской платы за содержание детей в муниципальных образовательных учреждениях города Пензы, реализующих основную общеобразовательную программу дошкольного образования, утвержденное приказам# Управления образования города Пензы от 04.06.2007 года N 206.
</t>
  </si>
  <si>
    <t>количество месяцев</t>
  </si>
  <si>
    <t>k увеличения</t>
  </si>
  <si>
    <t>норматив</t>
  </si>
  <si>
    <t>начисления на оплату труда</t>
  </si>
  <si>
    <t>Расчет норматива затрат ,непосредственно связанных с оказанием муниципальной услуги</t>
  </si>
  <si>
    <t>Расчет норматива затрат ,непосредственно  не связанных с оказанием муниципальной услуги</t>
  </si>
  <si>
    <t>тариф</t>
  </si>
  <si>
    <t>объем потребления</t>
  </si>
  <si>
    <t>нормативные затраты на коммунальные услуги</t>
  </si>
  <si>
    <t>горячее водоснабжение</t>
  </si>
  <si>
    <t>тепловая  энергия</t>
  </si>
  <si>
    <t>электрическая энергия</t>
  </si>
  <si>
    <t>вывоз жидких бытовых отходов и объемов жидких бытовых отходов</t>
  </si>
  <si>
    <t>Нормативные затраты на коммунальные услуги</t>
  </si>
  <si>
    <t>стоимость</t>
  </si>
  <si>
    <t>количество ед. услуг</t>
  </si>
  <si>
    <t xml:space="preserve">нормативные затраты </t>
  </si>
  <si>
    <t xml:space="preserve">Нормативные затраты на содержание недвижимого имущества </t>
  </si>
  <si>
    <t xml:space="preserve">Нормативные затраты на приобретение услуг связи и приобретение транспортных услуг </t>
  </si>
  <si>
    <t xml:space="preserve">приобретение транспортных услуг </t>
  </si>
  <si>
    <t>итого затрат</t>
  </si>
  <si>
    <t>налогооблагаемая база</t>
  </si>
  <si>
    <t>ставка налога</t>
  </si>
  <si>
    <t>Нормативные затраты на уплату налогов</t>
  </si>
  <si>
    <t>Объем приобретаемых муниципальных услуг (выполняемых работ) в стоимостных показателях</t>
  </si>
  <si>
    <t xml:space="preserve">Наименование приобретаемых муниципальных услуг </t>
  </si>
  <si>
    <t>Единица измерения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</si>
  <si>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</si>
  <si>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</si>
  <si>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Услуга по содержанию и техническому обслуживанию системы аварийного освещения</t>
  </si>
  <si>
    <t>Услуга по содержанию и техническому обслуживанию КТС</t>
  </si>
  <si>
    <t>Услуга по противопожарной пропитке чердачных деревянных конструкций</t>
  </si>
  <si>
    <t>Услуга по замеру сопротивления электроцепей, изоляции</t>
  </si>
  <si>
    <t>Услуги обеспечения норм освещенности периметра здания и территории в вечернее время</t>
  </si>
  <si>
    <t>3. Услуги и работы по нормативному содержанию имущества и помещений муниципальной собственности</t>
  </si>
  <si>
    <t>Услуги по вызову ТОП</t>
  </si>
  <si>
    <t>Услуги по текущему содержанию и техническому обслуживанию УУТЭ</t>
  </si>
  <si>
    <t>Работы по дезинфекции</t>
  </si>
  <si>
    <t>Услуги по устранению аварийных ситуаций домового оборудования</t>
  </si>
  <si>
    <t>Услуги по текущему содержанию и техническому обслуживанию торгового оборудования столовой</t>
  </si>
  <si>
    <t>Услуга по восполнению хозяйственных товаров</t>
  </si>
  <si>
    <t>4. Услуги и работы текущего ремонта, обеспечение готовности объекта к новому учебному году</t>
  </si>
  <si>
    <t>Услуги по страхованию здания</t>
  </si>
  <si>
    <t>Услуги по обследованию дымоходов</t>
  </si>
  <si>
    <t>Работы текущего ремонта здания и помещений</t>
  </si>
  <si>
    <t>- налог на имущество</t>
  </si>
  <si>
    <t>руб.</t>
  </si>
  <si>
    <t>- налог на землю</t>
  </si>
  <si>
    <t>Нормативные   затраты   на   приобретение   материальных   запасов, потребляемых в процессе оказания муниципальной услуги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</si>
  <si>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</si>
  <si>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</si>
  <si>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</si>
  <si>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затраты на компенсационные выплаты по уходу за ребенком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</si>
  <si>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</si>
  <si>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оплату труда  персонала, не принимающего непосредственное участие в оказании муниципальной услуги</t>
  </si>
  <si>
    <t>затраты на оплату труда  персонала, принимающего непосредственное участие в оказании муниципальной услуги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</si>
  <si>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</si>
  <si>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водоотведение</t>
  </si>
  <si>
    <t>холодное водоснабжение</t>
  </si>
  <si>
    <t>2. Затраты, на общехозяйственные нужды.</t>
  </si>
  <si>
    <t>итого</t>
  </si>
  <si>
    <t>интрнет</t>
  </si>
  <si>
    <t>приобретение услуг связи (абонентская плата)</t>
  </si>
  <si>
    <t>поминутная оплата</t>
  </si>
  <si>
    <t>вывоз мусора</t>
  </si>
  <si>
    <t>дератизация</t>
  </si>
  <si>
    <t>тех.обслуживание пожарной сигнализации</t>
  </si>
  <si>
    <t>Тревожная кнопка</t>
  </si>
  <si>
    <t>Утилизация ртутосодержащих отходов</t>
  </si>
  <si>
    <t>Прочие нормативные затраты на общехозяйственные нужды</t>
  </si>
  <si>
    <t xml:space="preserve">приобретение услуг связи </t>
  </si>
  <si>
    <t xml:space="preserve">Всего </t>
  </si>
  <si>
    <t xml:space="preserve"> </t>
  </si>
  <si>
    <t>транспортный налог</t>
  </si>
  <si>
    <t>экологический сбор</t>
  </si>
  <si>
    <t>КОСГУ</t>
  </si>
  <si>
    <t>смета</t>
  </si>
  <si>
    <t>отклонение</t>
  </si>
  <si>
    <t>всего</t>
  </si>
  <si>
    <t xml:space="preserve">3. Затраты на содержание движимого имущества </t>
  </si>
  <si>
    <t>Тех.обслуживание</t>
  </si>
  <si>
    <t>Текущий ремонт</t>
  </si>
  <si>
    <t>Автострахование</t>
  </si>
  <si>
    <t xml:space="preserve">Нормативные затраты на содержание движимого имущества </t>
  </si>
  <si>
    <t>Нормативные затраты на материальные запасы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</si>
  <si>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</si>
  <si>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 xml:space="preserve"> Прочие нормативные затраты на содержание  движимого имущества</t>
  </si>
  <si>
    <t>гос.пошлина</t>
  </si>
  <si>
    <t>нормативные затраты на коммунальные услуги с учетом увеличения</t>
  </si>
  <si>
    <t>Проверка</t>
  </si>
  <si>
    <t>Определение нормативных затрат на оказание муниципальной услуги</t>
  </si>
  <si>
    <t>1. Затраты, непосредственно связанные с оказанием муниципальной услуги. (приложение1)</t>
  </si>
  <si>
    <t>Всего по учреждению</t>
  </si>
  <si>
    <t>Всего затраты на общехозяйственные нужды</t>
  </si>
  <si>
    <t>Объем муниципальных услуг в натуральных показателях</t>
  </si>
  <si>
    <t>приложение 1</t>
  </si>
  <si>
    <t>приложение 2</t>
  </si>
  <si>
    <t>приложение 3</t>
  </si>
  <si>
    <t>приложение 4</t>
  </si>
  <si>
    <t>ед.измерения</t>
  </si>
  <si>
    <t>м3</t>
  </si>
  <si>
    <t>гКал</t>
  </si>
  <si>
    <t>кВат</t>
  </si>
  <si>
    <t>Гл.бухгалтер ____________________________________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</si>
  <si>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</si>
  <si>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2.6 Нормативные затраты на материальные запасы (приложение3)</t>
  </si>
  <si>
    <t>2.3. Затраты на приобретение услуг связи (приложение3)</t>
  </si>
  <si>
    <t>2.2 Затраты на содержание недвижимого имущества (приложение3)</t>
  </si>
  <si>
    <t>2.9. Приобретение коммунальных услуг (приложение 5)</t>
  </si>
  <si>
    <t>3 Нормативные затраты на содержание имущества  (приложение 6)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</si>
  <si>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</si>
  <si>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</si>
  <si>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тариф (руб.)</t>
  </si>
  <si>
    <t>2.5 Нормативные затраты на техническое обслуживание и текущий ремонт объектов движимого имущества (приложение 4)</t>
  </si>
  <si>
    <t>2.4.Прочие нормативные затраты на общехозяйственные нужды (приложение3)</t>
  </si>
  <si>
    <t>приложение 6</t>
  </si>
  <si>
    <t>Объем приобретаемых муниципальных услуг (выполняемых работ) в натуральных показателях</t>
  </si>
  <si>
    <t xml:space="preserve"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</t>
  </si>
  <si>
    <t>Заведующая_________________________________</t>
  </si>
  <si>
    <t>наименование</t>
  </si>
  <si>
    <t xml:space="preserve">питание детей </t>
  </si>
  <si>
    <t xml:space="preserve"> объем прочих затрат на общехозяйственные нужды</t>
  </si>
  <si>
    <t>медосмотр</t>
  </si>
  <si>
    <t>мед. осмотр</t>
  </si>
  <si>
    <t>электрическая энергия (свободные нерегулируемые цены) сумма</t>
  </si>
  <si>
    <t>прочее</t>
  </si>
  <si>
    <t>прочие</t>
  </si>
  <si>
    <t>итого прочие</t>
  </si>
  <si>
    <t>1-с сопровождение</t>
  </si>
  <si>
    <t>Г.М. Левченко</t>
  </si>
  <si>
    <t>ВСЕГО СМЕТА</t>
  </si>
  <si>
    <t>итого по 3 блоку</t>
  </si>
  <si>
    <t>Налоги</t>
  </si>
  <si>
    <t>Коммунальные услуги</t>
  </si>
  <si>
    <t>итого по 1 блоку</t>
  </si>
  <si>
    <t>итого по 2 блоку</t>
  </si>
  <si>
    <t>итого по косгу 226</t>
  </si>
  <si>
    <t>итого по косгу 225</t>
  </si>
  <si>
    <t>затраты на  начисления на выплаты по оплате труда  персонала, принимающего непосредственное участие в оказании муниципальной услуги</t>
  </si>
  <si>
    <t>затраты на оплату труда  персонала,  принимающего непосредственное участие в оказании муниципальной услуги</t>
  </si>
  <si>
    <t>4 квартал</t>
  </si>
  <si>
    <t>3 квартал</t>
  </si>
  <si>
    <t>2 квартал</t>
  </si>
  <si>
    <t>1 квартал</t>
  </si>
  <si>
    <t>месяц</t>
  </si>
  <si>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</si>
  <si>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</si>
  <si>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</si>
  <si>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</si>
  <si>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</si>
  <si>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</si>
  <si>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</si>
  <si>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</si>
  <si>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</si>
  <si>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</si>
  <si>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</si>
  <si>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</si>
  <si>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</t>
    </r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</si>
  <si>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</si>
  <si>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</si>
  <si>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</si>
  <si>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</si>
  <si>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Источник финансирования</t>
  </si>
  <si>
    <t>Способ установления цены муниципальной услуги</t>
  </si>
  <si>
    <t>Предмет (содержание) муниципальной услуги</t>
  </si>
  <si>
    <t>Орган местного самоуправления, ответственный за организацию предоставления муниципальной услуги</t>
  </si>
  <si>
    <t>Потребитель муниципальной услуги</t>
  </si>
  <si>
    <t>Наименование вопроса местного значения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</si>
  <si>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</si>
  <si>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РГ-А-2000</t>
  </si>
  <si>
    <t xml:space="preserve">Обеспечение образовательно-воспитательного процесса педагогическим, руководящим, административно-хозяйственным, учебно-вспомогательным и прочим персоналом.
Материально-техническое обеспечение образовательно-воспитательного процесса реализации общеразвивающих, коррекционных программ в группах разных возрастных категорий и времени пребывания детей в ДОУ.
Предоставление детям дошкольного возраста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электро- и водоснабжения, услугами водоотведения.
Организация питания детей и обеспечение материальными запасами, не относящимися к основным средствам.
</t>
  </si>
  <si>
    <t>1 воспитанник</t>
  </si>
  <si>
    <t>бюджет города Пензы</t>
  </si>
  <si>
    <t>нормативный, метод индексации, программно-целевой метод</t>
  </si>
  <si>
    <t>Управление образования города Пензы</t>
  </si>
  <si>
    <t>Население дошкольного возраста (1-7 лет)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</si>
  <si>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
Финансирование расходов, связанных с предоставлением компенсации части родительской# (компенсации) за содержание детей в муниципальных образовательных учреждениях, реализующих программу дошкольного образования, является расходным обязательством субъектов Российской Федерации.
</t>
  </si>
  <si>
    <t xml:space="preserve">тех.обслуживание  пожарной сигнализации </t>
  </si>
  <si>
    <t>тревожная кнопка</t>
  </si>
  <si>
    <t>тех.теплового пункта</t>
  </si>
  <si>
    <t>текущий темонт оборудования</t>
  </si>
  <si>
    <t>Тех.обслуживание средств радиомодема</t>
  </si>
  <si>
    <t>ТО узлов регулирования</t>
  </si>
  <si>
    <t>ТО теплосчетчиков</t>
  </si>
  <si>
    <t xml:space="preserve">т/о лифта </t>
  </si>
  <si>
    <t>проектиров.узла ХВС</t>
  </si>
  <si>
    <t>обслуж вычислит.техники</t>
  </si>
  <si>
    <t>оценка качества пропитки</t>
  </si>
  <si>
    <t xml:space="preserve">электрическая энергия 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</si>
  <si>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</si>
  <si>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1 блок</t>
  </si>
  <si>
    <t>2 блок</t>
  </si>
  <si>
    <t>3 блок</t>
  </si>
  <si>
    <t>Поверка вентиляционных каналов, огнезащитная обработка, огнетушители, опрессовка системы отопления</t>
  </si>
  <si>
    <t>поверка и ремонт теплосчетчиков,  манометров, весов</t>
  </si>
  <si>
    <t>Поверка манометров, весов, теплощетчиков</t>
  </si>
  <si>
    <t>не менее 95 %</t>
  </si>
  <si>
    <t xml:space="preserve">21,   20 в групповом помещении, 19      20  в спальном  помещении.                                </t>
  </si>
  <si>
    <t xml:space="preserve">Использование детской мебели с учетом антирометрических показателей </t>
  </si>
  <si>
    <t>Снижение среднегодового количества дней ,пропущенных идним ребенком по болезни</t>
  </si>
  <si>
    <t>Предупреждение травматизма детей</t>
  </si>
  <si>
    <t>Внедрение комплекса закаливающих мероприятий с использованием природных факторов (вода,воздух,солнечные лучи)</t>
  </si>
  <si>
    <t xml:space="preserve">Использование  в режиме дня разных  форм организации двигательной активности детей </t>
  </si>
  <si>
    <t>Доля потребительской услуги ,удоволетворенных условиями и качеством представление Услуги</t>
  </si>
  <si>
    <t>муниципальное дошкольное образовательное учреждение детский сад комбинированниго вида №    г. Пензы</t>
  </si>
  <si>
    <t xml:space="preserve">Заведующая__________________________ </t>
  </si>
  <si>
    <t>Гл.бухгалтер __________________________</t>
  </si>
  <si>
    <t xml:space="preserve">Заведующая_________________________ </t>
  </si>
  <si>
    <t xml:space="preserve">Гл.бухгалтер _________________________ </t>
  </si>
  <si>
    <t xml:space="preserve">Заведующая______________________ </t>
  </si>
  <si>
    <t xml:space="preserve">Гл.бухгалтер ________________________ </t>
  </si>
  <si>
    <t>Муниципальное бюджетное дошкольное учереждение                                                                                     детский сад комбинированного вида №     г. Пензы</t>
  </si>
  <si>
    <t xml:space="preserve">Гл.бухгалтер ______________________ </t>
  </si>
  <si>
    <t xml:space="preserve">Налог на имущество </t>
  </si>
  <si>
    <t xml:space="preserve">Налог на землю  </t>
  </si>
  <si>
    <t>Заведующая____________________________</t>
  </si>
  <si>
    <t xml:space="preserve">Гл.бухгалтер __________________________ </t>
  </si>
  <si>
    <t>Муниципальное бюджетное дошкольное образовательное учреждение детский сад комбинированного вида №   г. Пензы</t>
  </si>
  <si>
    <t xml:space="preserve">за </t>
  </si>
  <si>
    <t>2015год</t>
  </si>
  <si>
    <t xml:space="preserve">Заведующая МБДОУ № </t>
  </si>
  <si>
    <t>Оптимизация и расширение сети дошкольных образовательных учреждений (предоставление дополнительных мест)</t>
  </si>
  <si>
    <t>Организация дотационного, бесплатного и льготного питания дошкольников</t>
  </si>
  <si>
    <t>Приведение зданий, сооружений и территории дошкольных образовательных учреждений в соответствие с современными требованиями и нормами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</si>
  <si>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01.01.2015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31.12.2015</t>
    </r>
    <r>
      <rPr>
        <sz val="11"/>
        <color indexed="8"/>
        <rFont val="Times New Roman"/>
        <family val="1"/>
      </rPr>
      <t>.</t>
    </r>
  </si>
  <si>
    <t>1.2 В том числе затраты, непосредственно связанные с оказанием муниципальной услуги. (за счет бюджета города Пензы)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</si>
</sst>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#,##0.00000"/>
    <numFmt numFmtId="175" formatCode="0.0"/>
    <numFmt numFmtId="176" formatCode="0.00000000"/>
    <numFmt numFmtId="177" formatCode="#,##0.0000"/>
    <numFmt numFmtId="178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u val="single"/>
      <sz val="12"/>
      <name val="Verdana"/>
      <family val="2"/>
    </font>
    <font>
      <u val="single"/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name val="Arial Cyr"/>
      <family val="0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Dashed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7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10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" fontId="0" fillId="0" borderId="0" xfId="0" applyNumberFormat="1" applyFont="1" applyAlignment="1">
      <alignment/>
    </xf>
    <xf numFmtId="10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2" borderId="0" xfId="0" applyFont="1" applyFill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5" fillId="24" borderId="10" xfId="0" applyFont="1" applyFill="1" applyBorder="1" applyAlignment="1">
      <alignment vertical="top" wrapText="1"/>
    </xf>
    <xf numFmtId="0" fontId="0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top" wrapText="1"/>
    </xf>
    <xf numFmtId="0" fontId="0" fillId="8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wrapText="1"/>
    </xf>
    <xf numFmtId="0" fontId="5" fillId="24" borderId="16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0" fillId="0" borderId="20" xfId="0" applyBorder="1" applyAlignment="1">
      <alignment/>
    </xf>
    <xf numFmtId="0" fontId="0" fillId="0" borderId="18" xfId="0" applyBorder="1" applyAlignment="1">
      <alignment wrapText="1"/>
    </xf>
    <xf numFmtId="0" fontId="5" fillId="0" borderId="18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2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4" fontId="5" fillId="0" borderId="2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 vertical="top" wrapText="1"/>
    </xf>
    <xf numFmtId="4" fontId="5" fillId="2" borderId="20" xfId="0" applyNumberFormat="1" applyFont="1" applyFill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vertical="top" wrapText="1"/>
    </xf>
    <xf numFmtId="0" fontId="5" fillId="8" borderId="19" xfId="0" applyFont="1" applyFill="1" applyBorder="1" applyAlignment="1">
      <alignment vertical="top" wrapText="1"/>
    </xf>
    <xf numFmtId="0" fontId="5" fillId="8" borderId="20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vertical="top" wrapText="1"/>
    </xf>
    <xf numFmtId="4" fontId="5" fillId="24" borderId="15" xfId="0" applyNumberFormat="1" applyFont="1" applyFill="1" applyBorder="1" applyAlignment="1">
      <alignment horizontal="center" vertical="top" wrapText="1"/>
    </xf>
    <xf numFmtId="4" fontId="5" fillId="24" borderId="17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24" borderId="19" xfId="0" applyFont="1" applyFill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4" fontId="5" fillId="24" borderId="20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5" fillId="6" borderId="18" xfId="0" applyFont="1" applyFill="1" applyBorder="1" applyAlignment="1">
      <alignment vertical="top" wrapText="1"/>
    </xf>
    <xf numFmtId="0" fontId="5" fillId="6" borderId="19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vertical="top" wrapText="1"/>
    </xf>
    <xf numFmtId="4" fontId="5" fillId="6" borderId="20" xfId="0" applyNumberFormat="1" applyFont="1" applyFill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0" fillId="0" borderId="24" xfId="0" applyFont="1" applyBorder="1" applyAlignment="1">
      <alignment/>
    </xf>
    <xf numFmtId="4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0" fontId="12" fillId="0" borderId="17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 horizontal="center" wrapText="1"/>
    </xf>
    <xf numFmtId="2" fontId="0" fillId="0" borderId="0" xfId="0" applyNumberFormat="1" applyFont="1" applyFill="1" applyAlignment="1">
      <alignment/>
    </xf>
    <xf numFmtId="0" fontId="5" fillId="0" borderId="30" xfId="0" applyFont="1" applyBorder="1" applyAlignment="1">
      <alignment wrapText="1"/>
    </xf>
    <xf numFmtId="4" fontId="0" fillId="0" borderId="10" xfId="0" applyNumberFormat="1" applyBorder="1" applyAlignment="1" applyProtection="1">
      <alignment/>
      <protection locked="0"/>
    </xf>
    <xf numFmtId="0" fontId="3" fillId="25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3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7" fillId="0" borderId="16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4" fontId="5" fillId="0" borderId="0" xfId="0" applyNumberFormat="1" applyFont="1" applyAlignment="1">
      <alignment wrapText="1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0" xfId="53" applyFont="1">
      <alignment/>
      <protection/>
    </xf>
    <xf numFmtId="0" fontId="23" fillId="0" borderId="0" xfId="53" applyFont="1" applyAlignment="1">
      <alignment horizontal="right"/>
      <protection/>
    </xf>
    <xf numFmtId="0" fontId="18" fillId="0" borderId="0" xfId="53" applyFont="1" applyBorder="1">
      <alignment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19" fillId="0" borderId="0" xfId="53" applyFont="1" applyAlignment="1">
      <alignment vertical="top" wrapText="1"/>
      <protection/>
    </xf>
    <xf numFmtId="0" fontId="21" fillId="0" borderId="12" xfId="53" applyFont="1" applyBorder="1" applyAlignment="1">
      <alignment vertical="center" wrapText="1"/>
      <protection/>
    </xf>
    <xf numFmtId="0" fontId="21" fillId="0" borderId="0" xfId="53" applyFont="1" applyBorder="1" applyAlignment="1">
      <alignment vertical="center" wrapText="1"/>
      <protection/>
    </xf>
    <xf numFmtId="0" fontId="37" fillId="0" borderId="12" xfId="53" applyFont="1" applyBorder="1" applyAlignment="1">
      <alignment vertical="top" wrapText="1"/>
      <protection/>
    </xf>
    <xf numFmtId="0" fontId="37" fillId="0" borderId="32" xfId="53" applyFont="1" applyBorder="1" applyAlignment="1">
      <alignment vertical="top" wrapText="1"/>
      <protection/>
    </xf>
    <xf numFmtId="0" fontId="37" fillId="0" borderId="12" xfId="53" applyFont="1" applyBorder="1" applyAlignment="1">
      <alignment wrapText="1"/>
      <protection/>
    </xf>
    <xf numFmtId="0" fontId="37" fillId="0" borderId="0" xfId="53" applyFont="1" applyAlignment="1">
      <alignment wrapText="1"/>
      <protection/>
    </xf>
    <xf numFmtId="0" fontId="37" fillId="0" borderId="33" xfId="53" applyFont="1" applyBorder="1" applyAlignment="1">
      <alignment horizontal="center" wrapText="1"/>
      <protection/>
    </xf>
    <xf numFmtId="0" fontId="37" fillId="0" borderId="34" xfId="53" applyFont="1" applyBorder="1" applyAlignment="1">
      <alignment horizontal="center" wrapText="1"/>
      <protection/>
    </xf>
    <xf numFmtId="0" fontId="37" fillId="0" borderId="0" xfId="53" applyFont="1" applyBorder="1" applyAlignment="1">
      <alignment horizontal="center" wrapText="1"/>
      <protection/>
    </xf>
    <xf numFmtId="0" fontId="37" fillId="0" borderId="30" xfId="53" applyFont="1" applyBorder="1" applyAlignment="1">
      <alignment vertical="top" wrapText="1"/>
      <protection/>
    </xf>
    <xf numFmtId="0" fontId="37" fillId="0" borderId="0" xfId="53" applyFont="1" applyBorder="1" applyAlignment="1">
      <alignment vertical="top" wrapText="1"/>
      <protection/>
    </xf>
    <xf numFmtId="0" fontId="37" fillId="0" borderId="30" xfId="53" applyFont="1" applyBorder="1" applyAlignment="1">
      <alignment wrapText="1"/>
      <protection/>
    </xf>
    <xf numFmtId="0" fontId="37" fillId="0" borderId="34" xfId="53" applyFont="1" applyBorder="1" applyAlignment="1">
      <alignment vertical="top" wrapText="1"/>
      <protection/>
    </xf>
    <xf numFmtId="0" fontId="37" fillId="0" borderId="34" xfId="53" applyFont="1" applyBorder="1" applyAlignment="1">
      <alignment wrapText="1"/>
      <protection/>
    </xf>
    <xf numFmtId="0" fontId="37" fillId="0" borderId="35" xfId="53" applyFont="1" applyBorder="1" applyAlignment="1">
      <alignment vertical="top" wrapText="1"/>
      <protection/>
    </xf>
    <xf numFmtId="0" fontId="37" fillId="0" borderId="36" xfId="53" applyFont="1" applyBorder="1" applyAlignment="1">
      <alignment vertical="top" wrapText="1"/>
      <protection/>
    </xf>
    <xf numFmtId="0" fontId="37" fillId="0" borderId="35" xfId="53" applyFont="1" applyBorder="1" applyAlignment="1">
      <alignment horizontal="center" vertical="top" wrapText="1"/>
      <protection/>
    </xf>
    <xf numFmtId="0" fontId="37" fillId="0" borderId="36" xfId="53" applyFont="1" applyBorder="1" applyAlignment="1">
      <alignment horizontal="center" vertical="top" wrapText="1"/>
      <protection/>
    </xf>
    <xf numFmtId="0" fontId="37" fillId="0" borderId="35" xfId="53" applyFont="1" applyBorder="1" applyAlignment="1">
      <alignment horizontal="center" wrapText="1"/>
      <protection/>
    </xf>
    <xf numFmtId="0" fontId="37" fillId="0" borderId="37" xfId="53" applyFont="1" applyBorder="1" applyAlignment="1">
      <alignment horizontal="center" wrapText="1"/>
      <protection/>
    </xf>
    <xf numFmtId="0" fontId="37" fillId="0" borderId="36" xfId="53" applyFont="1" applyBorder="1" applyAlignment="1">
      <alignment horizontal="center" wrapText="1"/>
      <protection/>
    </xf>
    <xf numFmtId="0" fontId="37" fillId="0" borderId="37" xfId="53" applyFont="1" applyBorder="1" applyAlignment="1">
      <alignment vertical="top" wrapText="1"/>
      <protection/>
    </xf>
    <xf numFmtId="0" fontId="37" fillId="0" borderId="36" xfId="53" applyFont="1" applyBorder="1" applyAlignment="1">
      <alignment wrapText="1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Border="1">
      <alignment/>
      <protection/>
    </xf>
    <xf numFmtId="0" fontId="21" fillId="25" borderId="10" xfId="53" applyFont="1" applyFill="1" applyBorder="1" applyAlignment="1">
      <alignment/>
      <protection/>
    </xf>
    <xf numFmtId="0" fontId="21" fillId="0" borderId="10" xfId="53" applyFont="1" applyBorder="1" applyAlignment="1">
      <alignment/>
      <protection/>
    </xf>
    <xf numFmtId="0" fontId="18" fillId="0" borderId="38" xfId="53" applyFont="1" applyBorder="1" applyAlignment="1">
      <alignment horizontal="right"/>
      <protection/>
    </xf>
    <xf numFmtId="0" fontId="18" fillId="0" borderId="38" xfId="53" applyFont="1" applyBorder="1">
      <alignment/>
      <protection/>
    </xf>
    <xf numFmtId="2" fontId="38" fillId="0" borderId="10" xfId="53" applyNumberFormat="1" applyFont="1" applyBorder="1">
      <alignment/>
      <protection/>
    </xf>
    <xf numFmtId="0" fontId="21" fillId="0" borderId="22" xfId="53" applyFont="1" applyBorder="1" applyAlignment="1">
      <alignment horizontal="left" vertical="top" wrapText="1"/>
      <protection/>
    </xf>
    <xf numFmtId="2" fontId="23" fillId="0" borderId="10" xfId="53" applyNumberFormat="1" applyFont="1" applyBorder="1" applyAlignment="1">
      <alignment textRotation="90"/>
      <protection/>
    </xf>
    <xf numFmtId="2" fontId="23" fillId="25" borderId="10" xfId="53" applyNumberFormat="1" applyFont="1" applyFill="1" applyBorder="1" applyAlignment="1">
      <alignment textRotation="90"/>
      <protection/>
    </xf>
    <xf numFmtId="0" fontId="21" fillId="0" borderId="10" xfId="53" applyFont="1" applyBorder="1" applyAlignment="1">
      <alignment horizontal="left" vertical="top" wrapText="1"/>
      <protection/>
    </xf>
    <xf numFmtId="0" fontId="23" fillId="0" borderId="10" xfId="53" applyFont="1" applyBorder="1" applyAlignment="1">
      <alignment textRotation="90"/>
      <protection/>
    </xf>
    <xf numFmtId="0" fontId="23" fillId="25" borderId="10" xfId="53" applyFont="1" applyFill="1" applyBorder="1" applyAlignment="1">
      <alignment textRotation="90"/>
      <protection/>
    </xf>
    <xf numFmtId="0" fontId="21" fillId="0" borderId="10" xfId="53" applyFont="1" applyBorder="1" applyAlignment="1">
      <alignment textRotation="90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wrapText="1"/>
      <protection/>
    </xf>
    <xf numFmtId="0" fontId="18" fillId="0" borderId="10" xfId="53" applyFont="1" applyBorder="1" applyAlignment="1">
      <alignment wrapText="1"/>
      <protection/>
    </xf>
    <xf numFmtId="0" fontId="18" fillId="0" borderId="10" xfId="53" applyFont="1" applyBorder="1">
      <alignment/>
      <protection/>
    </xf>
    <xf numFmtId="0" fontId="18" fillId="0" borderId="0" xfId="53" applyFont="1" applyAlignment="1">
      <alignment/>
      <protection/>
    </xf>
    <xf numFmtId="0" fontId="18" fillId="0" borderId="38" xfId="53" applyFont="1" applyBorder="1" applyAlignment="1">
      <alignment horizontal="right" vertical="top"/>
      <protection/>
    </xf>
    <xf numFmtId="0" fontId="18" fillId="0" borderId="38" xfId="53" applyFont="1" applyBorder="1" applyAlignment="1">
      <alignment vertical="top"/>
      <protection/>
    </xf>
    <xf numFmtId="0" fontId="18" fillId="0" borderId="0" xfId="53" applyFont="1" applyBorder="1" applyAlignment="1">
      <alignment vertical="top" wrapText="1"/>
      <protection/>
    </xf>
    <xf numFmtId="0" fontId="18" fillId="0" borderId="0" xfId="53" applyFont="1" applyBorder="1" applyAlignment="1">
      <alignment/>
      <protection/>
    </xf>
    <xf numFmtId="0" fontId="23" fillId="0" borderId="0" xfId="53" applyFont="1">
      <alignment/>
      <protection/>
    </xf>
    <xf numFmtId="0" fontId="23" fillId="0" borderId="33" xfId="53" applyFont="1" applyBorder="1" applyAlignment="1">
      <alignment horizontal="left"/>
      <protection/>
    </xf>
    <xf numFmtId="0" fontId="23" fillId="0" borderId="0" xfId="53" applyFont="1" applyBorder="1" applyAlignment="1">
      <alignment horizontal="left"/>
      <protection/>
    </xf>
    <xf numFmtId="0" fontId="23" fillId="0" borderId="34" xfId="53" applyFont="1" applyBorder="1" applyAlignment="1">
      <alignment horizontal="left"/>
      <protection/>
    </xf>
    <xf numFmtId="0" fontId="23" fillId="0" borderId="33" xfId="53" applyFont="1" applyBorder="1">
      <alignment/>
      <protection/>
    </xf>
    <xf numFmtId="0" fontId="23" fillId="0" borderId="0" xfId="53" applyFont="1" applyBorder="1">
      <alignment/>
      <protection/>
    </xf>
    <xf numFmtId="0" fontId="23" fillId="0" borderId="34" xfId="53" applyFont="1" applyBorder="1">
      <alignment/>
      <protection/>
    </xf>
    <xf numFmtId="0" fontId="18" fillId="0" borderId="35" xfId="53" applyFont="1" applyBorder="1">
      <alignment/>
      <protection/>
    </xf>
    <xf numFmtId="0" fontId="18" fillId="0" borderId="37" xfId="53" applyFont="1" applyBorder="1">
      <alignment/>
      <protection/>
    </xf>
    <xf numFmtId="0" fontId="18" fillId="0" borderId="36" xfId="53" applyFont="1" applyBorder="1">
      <alignment/>
      <protection/>
    </xf>
    <xf numFmtId="0" fontId="18" fillId="0" borderId="0" xfId="53" applyFont="1" applyAlignment="1">
      <alignment horizontal="right"/>
      <protection/>
    </xf>
    <xf numFmtId="0" fontId="33" fillId="0" borderId="0" xfId="53" applyFont="1" applyFill="1">
      <alignment/>
      <protection/>
    </xf>
    <xf numFmtId="0" fontId="19" fillId="0" borderId="0" xfId="53" applyFont="1" applyFill="1" applyAlignment="1">
      <alignment horizontal="right"/>
      <protection/>
    </xf>
    <xf numFmtId="0" fontId="33" fillId="0" borderId="0" xfId="53" applyFont="1" applyFill="1" applyAlignment="1">
      <alignment horizontal="right"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6" fillId="0" borderId="0" xfId="53" applyFont="1" applyFill="1" applyAlignment="1">
      <alignment horizontal="center" wrapText="1"/>
      <protection/>
    </xf>
    <xf numFmtId="0" fontId="26" fillId="0" borderId="0" xfId="53" applyFont="1" applyFill="1" applyAlignment="1">
      <alignment horizontal="left"/>
      <protection/>
    </xf>
    <xf numFmtId="0" fontId="26" fillId="0" borderId="0" xfId="53" applyFont="1" applyFill="1" applyAlignment="1">
      <alignment horizontal="justify"/>
      <protection/>
    </xf>
    <xf numFmtId="0" fontId="5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horizontal="justify"/>
      <protection/>
    </xf>
    <xf numFmtId="0" fontId="26" fillId="0" borderId="0" xfId="53" applyFont="1" applyFill="1">
      <alignment/>
      <protection/>
    </xf>
    <xf numFmtId="0" fontId="26" fillId="0" borderId="0" xfId="53" applyFont="1" applyFill="1" applyAlignment="1">
      <alignment horizontal="right"/>
      <protection/>
    </xf>
    <xf numFmtId="0" fontId="5" fillId="0" borderId="39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top"/>
      <protection/>
    </xf>
    <xf numFmtId="0" fontId="33" fillId="0" borderId="10" xfId="53" applyFont="1" applyFill="1" applyBorder="1" applyAlignment="1">
      <alignment horizontal="center" vertical="center"/>
      <protection/>
    </xf>
    <xf numFmtId="174" fontId="5" fillId="22" borderId="10" xfId="53" applyNumberFormat="1" applyFont="1" applyFill="1" applyBorder="1" applyAlignment="1">
      <alignment horizontal="right"/>
      <protection/>
    </xf>
    <xf numFmtId="0" fontId="33" fillId="20" borderId="0" xfId="53" applyFont="1" applyFill="1" applyAlignment="1">
      <alignment horizontal="right"/>
      <protection/>
    </xf>
    <xf numFmtId="0" fontId="33" fillId="20" borderId="0" xfId="53" applyFont="1" applyFill="1">
      <alignment/>
      <protection/>
    </xf>
    <xf numFmtId="174" fontId="5" fillId="0" borderId="22" xfId="53" applyNumberFormat="1" applyFont="1" applyFill="1" applyBorder="1" applyAlignment="1">
      <alignment/>
      <protection/>
    </xf>
    <xf numFmtId="0" fontId="23" fillId="25" borderId="10" xfId="53" applyNumberFormat="1" applyFont="1" applyFill="1" applyBorder="1" applyAlignment="1">
      <alignment horizontal="right"/>
      <protection/>
    </xf>
    <xf numFmtId="0" fontId="5" fillId="0" borderId="10" xfId="53" applyNumberFormat="1" applyFont="1" applyFill="1" applyBorder="1" applyAlignment="1">
      <alignment/>
      <protection/>
    </xf>
    <xf numFmtId="169" fontId="33" fillId="0" borderId="0" xfId="53" applyNumberFormat="1" applyFont="1" applyFill="1">
      <alignment/>
      <protection/>
    </xf>
    <xf numFmtId="169" fontId="33" fillId="20" borderId="0" xfId="53" applyNumberFormat="1" applyFont="1" applyFill="1">
      <alignment/>
      <protection/>
    </xf>
    <xf numFmtId="174" fontId="33" fillId="0" borderId="10" xfId="53" applyNumberFormat="1" applyFont="1" applyFill="1" applyBorder="1" applyAlignment="1">
      <alignment/>
      <protection/>
    </xf>
    <xf numFmtId="0" fontId="33" fillId="22" borderId="0" xfId="53" applyFont="1" applyFill="1" applyAlignment="1">
      <alignment horizontal="right"/>
      <protection/>
    </xf>
    <xf numFmtId="0" fontId="33" fillId="22" borderId="0" xfId="53" applyFont="1" applyFill="1">
      <alignment/>
      <protection/>
    </xf>
    <xf numFmtId="169" fontId="33" fillId="22" borderId="0" xfId="53" applyNumberFormat="1" applyFont="1" applyFill="1">
      <alignment/>
      <protection/>
    </xf>
    <xf numFmtId="169" fontId="26" fillId="0" borderId="0" xfId="53" applyNumberFormat="1" applyFont="1" applyFill="1">
      <alignment/>
      <protection/>
    </xf>
    <xf numFmtId="169" fontId="24" fillId="0" borderId="0" xfId="53" applyNumberFormat="1" applyFont="1" applyFill="1">
      <alignment/>
      <protection/>
    </xf>
    <xf numFmtId="0" fontId="5" fillId="0" borderId="40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top" wrapText="1"/>
      <protection/>
    </xf>
    <xf numFmtId="169" fontId="32" fillId="0" borderId="0" xfId="53" applyNumberFormat="1" applyFont="1" applyFill="1">
      <alignment/>
      <protection/>
    </xf>
    <xf numFmtId="174" fontId="33" fillId="0" borderId="0" xfId="53" applyNumberFormat="1" applyFont="1" applyFill="1">
      <alignment/>
      <protection/>
    </xf>
    <xf numFmtId="0" fontId="34" fillId="0" borderId="0" xfId="53" applyFont="1" applyFill="1">
      <alignment/>
      <protection/>
    </xf>
    <xf numFmtId="0" fontId="34" fillId="0" borderId="0" xfId="53" applyFont="1" applyFill="1" applyAlignment="1">
      <alignment horizontal="right"/>
      <protection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33" fillId="0" borderId="0" xfId="53" applyFont="1" applyFill="1" applyBorder="1" applyAlignment="1">
      <alignment horizontal="center" vertical="center"/>
      <protection/>
    </xf>
    <xf numFmtId="0" fontId="33" fillId="0" borderId="0" xfId="53" applyNumberFormat="1" applyFont="1" applyFill="1" applyBorder="1" applyAlignment="1">
      <alignment wrapText="1"/>
      <protection/>
    </xf>
    <xf numFmtId="0" fontId="33" fillId="0" borderId="0" xfId="53" applyFont="1" applyFill="1" applyBorder="1">
      <alignment/>
      <protection/>
    </xf>
    <xf numFmtId="0" fontId="18" fillId="0" borderId="0" xfId="53" applyFont="1" applyFill="1">
      <alignment/>
      <protection/>
    </xf>
    <xf numFmtId="0" fontId="18" fillId="0" borderId="38" xfId="53" applyFont="1" applyFill="1" applyBorder="1" applyAlignment="1">
      <alignment horizontal="right"/>
      <protection/>
    </xf>
    <xf numFmtId="0" fontId="18" fillId="0" borderId="38" xfId="53" applyFont="1" applyFill="1" applyBorder="1">
      <alignment/>
      <protection/>
    </xf>
    <xf numFmtId="0" fontId="33" fillId="0" borderId="37" xfId="53" applyFont="1" applyFill="1" applyBorder="1">
      <alignment/>
      <protection/>
    </xf>
    <xf numFmtId="0" fontId="33" fillId="0" borderId="41" xfId="53" applyFont="1" applyFill="1" applyBorder="1">
      <alignment/>
      <protection/>
    </xf>
    <xf numFmtId="0" fontId="33" fillId="0" borderId="37" xfId="53" applyFont="1" applyFill="1" applyBorder="1" applyAlignment="1">
      <alignment/>
      <protection/>
    </xf>
    <xf numFmtId="0" fontId="31" fillId="0" borderId="0" xfId="53" applyFont="1" applyFill="1">
      <alignment/>
      <protection/>
    </xf>
    <xf numFmtId="0" fontId="24" fillId="0" borderId="0" xfId="53" applyFont="1" applyFill="1">
      <alignment/>
      <protection/>
    </xf>
    <xf numFmtId="0" fontId="35" fillId="0" borderId="0" xfId="53" applyFont="1" applyFill="1">
      <alignment/>
      <protection/>
    </xf>
    <xf numFmtId="0" fontId="32" fillId="0" borderId="0" xfId="53" applyFont="1" applyFill="1">
      <alignment/>
      <protection/>
    </xf>
    <xf numFmtId="174" fontId="30" fillId="22" borderId="22" xfId="53" applyNumberFormat="1" applyFont="1" applyFill="1" applyBorder="1" applyAlignment="1">
      <alignment horizontal="right"/>
      <protection/>
    </xf>
    <xf numFmtId="174" fontId="5" fillId="0" borderId="39" xfId="53" applyNumberFormat="1" applyFont="1" applyFill="1" applyBorder="1" applyAlignment="1">
      <alignment horizontal="center" vertical="center" wrapText="1"/>
      <protection/>
    </xf>
    <xf numFmtId="0" fontId="31" fillId="0" borderId="37" xfId="53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0" fillId="0" borderId="19" xfId="0" applyFill="1" applyBorder="1" applyAlignment="1">
      <alignment/>
    </xf>
    <xf numFmtId="0" fontId="5" fillId="0" borderId="21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0" fontId="5" fillId="0" borderId="29" xfId="0" applyFont="1" applyBorder="1" applyAlignment="1">
      <alignment wrapText="1"/>
    </xf>
    <xf numFmtId="2" fontId="5" fillId="0" borderId="19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4" fontId="5" fillId="0" borderId="42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wrapText="1"/>
    </xf>
    <xf numFmtId="0" fontId="5" fillId="0" borderId="44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46" xfId="0" applyFont="1" applyBorder="1" applyAlignment="1">
      <alignment wrapText="1"/>
    </xf>
    <xf numFmtId="0" fontId="5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4" fontId="0" fillId="0" borderId="47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48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49" xfId="0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53" applyFont="1" applyFill="1" applyBorder="1" applyAlignment="1">
      <alignment vertical="top" wrapText="1"/>
      <protection/>
    </xf>
    <xf numFmtId="0" fontId="39" fillId="0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18" fillId="0" borderId="10" xfId="53" applyFont="1" applyFill="1" applyBorder="1">
      <alignment/>
      <protection/>
    </xf>
    <xf numFmtId="0" fontId="18" fillId="0" borderId="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4" fontId="18" fillId="0" borderId="0" xfId="53" applyNumberFormat="1" applyFont="1" applyFill="1">
      <alignment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>
      <alignment/>
      <protection/>
    </xf>
    <xf numFmtId="4" fontId="26" fillId="0" borderId="0" xfId="53" applyNumberFormat="1" applyFont="1" applyFill="1">
      <alignment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34" fillId="0" borderId="10" xfId="53" applyFont="1" applyFill="1" applyBorder="1" applyAlignment="1">
      <alignment horizontal="center" vertical="center"/>
      <protection/>
    </xf>
    <xf numFmtId="4" fontId="34" fillId="0" borderId="0" xfId="53" applyNumberFormat="1" applyFont="1" applyFill="1">
      <alignment/>
      <protection/>
    </xf>
    <xf numFmtId="4" fontId="18" fillId="0" borderId="0" xfId="53" applyNumberFormat="1" applyFont="1" applyFill="1" applyAlignment="1">
      <alignment horizontal="center"/>
      <protection/>
    </xf>
    <xf numFmtId="0" fontId="20" fillId="0" borderId="10" xfId="53" applyFont="1" applyFill="1" applyBorder="1">
      <alignment/>
      <protection/>
    </xf>
    <xf numFmtId="4" fontId="20" fillId="0" borderId="0" xfId="53" applyNumberFormat="1" applyFont="1" applyFill="1">
      <alignment/>
      <protection/>
    </xf>
    <xf numFmtId="0" fontId="20" fillId="0" borderId="0" xfId="53" applyFont="1" applyFill="1">
      <alignment/>
      <protection/>
    </xf>
    <xf numFmtId="0" fontId="40" fillId="0" borderId="10" xfId="53" applyFont="1" applyFill="1" applyBorder="1">
      <alignment/>
      <protection/>
    </xf>
    <xf numFmtId="0" fontId="41" fillId="0" borderId="10" xfId="53" applyFont="1" applyFill="1" applyBorder="1">
      <alignment/>
      <protection/>
    </xf>
    <xf numFmtId="4" fontId="41" fillId="0" borderId="0" xfId="53" applyNumberFormat="1" applyFont="1" applyFill="1">
      <alignment/>
      <protection/>
    </xf>
    <xf numFmtId="0" fontId="41" fillId="0" borderId="0" xfId="53" applyFont="1" applyFill="1">
      <alignment/>
      <protection/>
    </xf>
    <xf numFmtId="0" fontId="18" fillId="0" borderId="0" xfId="53" applyFont="1" applyFill="1" applyAlignment="1">
      <alignment/>
      <protection/>
    </xf>
    <xf numFmtId="4" fontId="18" fillId="26" borderId="10" xfId="53" applyNumberFormat="1" applyFont="1" applyFill="1" applyBorder="1">
      <alignment/>
      <protection/>
    </xf>
    <xf numFmtId="4" fontId="26" fillId="0" borderId="10" xfId="53" applyNumberFormat="1" applyFont="1" applyFill="1" applyBorder="1">
      <alignment/>
      <protection/>
    </xf>
    <xf numFmtId="4" fontId="18" fillId="4" borderId="10" xfId="53" applyNumberFormat="1" applyFont="1" applyFill="1" applyBorder="1">
      <alignment/>
      <protection/>
    </xf>
    <xf numFmtId="4" fontId="26" fillId="4" borderId="10" xfId="53" applyNumberFormat="1" applyFont="1" applyFill="1" applyBorder="1">
      <alignment/>
      <protection/>
    </xf>
    <xf numFmtId="4" fontId="18" fillId="0" borderId="10" xfId="53" applyNumberFormat="1" applyFont="1" applyFill="1" applyBorder="1">
      <alignment/>
      <protection/>
    </xf>
    <xf numFmtId="4" fontId="20" fillId="2" borderId="10" xfId="53" applyNumberFormat="1" applyFont="1" applyFill="1" applyBorder="1">
      <alignment/>
      <protection/>
    </xf>
    <xf numFmtId="4" fontId="42" fillId="2" borderId="10" xfId="53" applyNumberFormat="1" applyFont="1" applyFill="1" applyBorder="1">
      <alignment/>
      <protection/>
    </xf>
    <xf numFmtId="4" fontId="18" fillId="2" borderId="10" xfId="53" applyNumberFormat="1" applyFont="1" applyFill="1" applyBorder="1">
      <alignment/>
      <protection/>
    </xf>
    <xf numFmtId="4" fontId="41" fillId="8" borderId="10" xfId="53" applyNumberFormat="1" applyFont="1" applyFill="1" applyBorder="1">
      <alignment/>
      <protection/>
    </xf>
    <xf numFmtId="4" fontId="40" fillId="8" borderId="10" xfId="53" applyNumberFormat="1" applyFont="1" applyFill="1" applyBorder="1">
      <alignment/>
      <protection/>
    </xf>
    <xf numFmtId="4" fontId="43" fillId="8" borderId="10" xfId="53" applyNumberFormat="1" applyFont="1" applyFill="1" applyBorder="1">
      <alignment/>
      <protection/>
    </xf>
    <xf numFmtId="0" fontId="5" fillId="2" borderId="10" xfId="0" applyFont="1" applyFill="1" applyBorder="1" applyAlignment="1">
      <alignment/>
    </xf>
    <xf numFmtId="14" fontId="26" fillId="0" borderId="37" xfId="53" applyNumberFormat="1" applyFont="1" applyFill="1" applyBorder="1">
      <alignment/>
      <protection/>
    </xf>
    <xf numFmtId="0" fontId="5" fillId="0" borderId="0" xfId="53" applyFont="1" applyFill="1" applyAlignment="1">
      <alignment/>
      <protection/>
    </xf>
    <xf numFmtId="0" fontId="26" fillId="0" borderId="0" xfId="53" applyFont="1" applyFill="1" applyAlignment="1">
      <alignment/>
      <protection/>
    </xf>
    <xf numFmtId="0" fontId="0" fillId="0" borderId="12" xfId="0" applyBorder="1" applyAlignment="1">
      <alignment/>
    </xf>
    <xf numFmtId="174" fontId="5" fillId="20" borderId="22" xfId="53" applyNumberFormat="1" applyFont="1" applyFill="1" applyBorder="1" applyAlignment="1">
      <alignment horizontal="right"/>
      <protection/>
    </xf>
    <xf numFmtId="174" fontId="5" fillId="20" borderId="22" xfId="53" applyNumberFormat="1" applyFont="1" applyFill="1" applyBorder="1" applyAlignment="1">
      <alignment/>
      <protection/>
    </xf>
    <xf numFmtId="0" fontId="18" fillId="0" borderId="0" xfId="53" applyFont="1" applyFill="1" applyBorder="1" applyAlignment="1">
      <alignment horizontal="center" textRotation="90"/>
      <protection/>
    </xf>
    <xf numFmtId="0" fontId="20" fillId="0" borderId="0" xfId="53" applyFont="1" applyFill="1" applyBorder="1" applyAlignment="1">
      <alignment horizontal="center" textRotation="90"/>
      <protection/>
    </xf>
    <xf numFmtId="0" fontId="30" fillId="0" borderId="10" xfId="53" applyFont="1" applyFill="1" applyBorder="1" applyAlignment="1">
      <alignment horizontal="left" vertical="top" wrapText="1"/>
      <protection/>
    </xf>
    <xf numFmtId="4" fontId="20" fillId="0" borderId="10" xfId="53" applyNumberFormat="1" applyFont="1" applyFill="1" applyBorder="1">
      <alignment/>
      <protection/>
    </xf>
    <xf numFmtId="4" fontId="44" fillId="2" borderId="10" xfId="53" applyNumberFormat="1" applyFont="1" applyFill="1" applyBorder="1">
      <alignment/>
      <protection/>
    </xf>
    <xf numFmtId="4" fontId="45" fillId="8" borderId="10" xfId="53" applyNumberFormat="1" applyFont="1" applyFill="1" applyBorder="1">
      <alignment/>
      <protection/>
    </xf>
    <xf numFmtId="0" fontId="21" fillId="0" borderId="10" xfId="53" applyFont="1" applyFill="1" applyBorder="1">
      <alignment/>
      <protection/>
    </xf>
    <xf numFmtId="4" fontId="23" fillId="25" borderId="10" xfId="53" applyNumberFormat="1" applyFont="1" applyFill="1" applyBorder="1" applyAlignment="1">
      <alignment textRotation="90"/>
      <protection/>
    </xf>
    <xf numFmtId="4" fontId="5" fillId="0" borderId="45" xfId="0" applyNumberFormat="1" applyFont="1" applyBorder="1" applyAlignment="1">
      <alignment horizontal="center" vertical="top" wrapText="1"/>
    </xf>
    <xf numFmtId="0" fontId="8" fillId="0" borderId="31" xfId="0" applyFont="1" applyFill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51" xfId="0" applyFont="1" applyBorder="1" applyAlignment="1">
      <alignment/>
    </xf>
    <xf numFmtId="0" fontId="8" fillId="0" borderId="52" xfId="0" applyFont="1" applyBorder="1" applyAlignment="1">
      <alignment wrapText="1"/>
    </xf>
    <xf numFmtId="0" fontId="0" fillId="0" borderId="53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" fontId="5" fillId="0" borderId="1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" fontId="18" fillId="0" borderId="17" xfId="53" applyNumberFormat="1" applyFont="1" applyBorder="1" applyAlignment="1">
      <alignment vertical="top" wrapText="1"/>
      <protection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7" fillId="0" borderId="0" xfId="53" applyFont="1" applyBorder="1" applyAlignment="1">
      <alignment horizontal="center" vertical="top" wrapText="1"/>
      <protection/>
    </xf>
    <xf numFmtId="0" fontId="37" fillId="0" borderId="0" xfId="53" applyFont="1" applyBorder="1" applyAlignment="1">
      <alignment horizontal="left" vertical="top" wrapText="1"/>
      <protection/>
    </xf>
    <xf numFmtId="0" fontId="37" fillId="0" borderId="0" xfId="53" applyFont="1" applyBorder="1" applyAlignment="1">
      <alignment wrapText="1"/>
      <protection/>
    </xf>
    <xf numFmtId="177" fontId="0" fillId="0" borderId="10" xfId="0" applyNumberFormat="1" applyBorder="1" applyAlignment="1">
      <alignment horizontal="center" wrapText="1"/>
    </xf>
    <xf numFmtId="0" fontId="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9" fillId="0" borderId="0" xfId="53" applyFont="1" applyBorder="1" applyAlignment="1">
      <alignment horizontal="center" vertical="top" wrapText="1"/>
      <protection/>
    </xf>
    <xf numFmtId="4" fontId="12" fillId="0" borderId="0" xfId="0" applyNumberFormat="1" applyFont="1" applyAlignment="1">
      <alignment/>
    </xf>
    <xf numFmtId="0" fontId="18" fillId="0" borderId="37" xfId="53" applyFont="1" applyBorder="1" applyAlignment="1">
      <alignment/>
      <protection/>
    </xf>
    <xf numFmtId="174" fontId="0" fillId="0" borderId="10" xfId="0" applyNumberForma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 wrapText="1"/>
    </xf>
    <xf numFmtId="4" fontId="0" fillId="0" borderId="45" xfId="0" applyNumberForma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2" fontId="26" fillId="0" borderId="10" xfId="0" applyNumberFormat="1" applyFont="1" applyBorder="1" applyAlignment="1">
      <alignment horizontal="center" vertical="top" wrapText="1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18" fillId="0" borderId="0" xfId="53" applyFont="1" applyFill="1">
      <alignment/>
      <protection/>
    </xf>
    <xf numFmtId="0" fontId="33" fillId="0" borderId="0" xfId="53" applyFont="1" applyFill="1">
      <alignment/>
      <protection/>
    </xf>
    <xf numFmtId="0" fontId="19" fillId="0" borderId="0" xfId="53" applyFont="1" applyFill="1" applyAlignment="1">
      <alignment horizontal="right"/>
      <protection/>
    </xf>
    <xf numFmtId="169" fontId="32" fillId="0" borderId="0" xfId="53" applyNumberFormat="1" applyFont="1" applyFill="1">
      <alignment/>
      <protection/>
    </xf>
    <xf numFmtId="174" fontId="33" fillId="0" borderId="0" xfId="53" applyNumberFormat="1" applyFont="1" applyFill="1">
      <alignment/>
      <protection/>
    </xf>
    <xf numFmtId="0" fontId="34" fillId="0" borderId="0" xfId="53" applyFont="1" applyFill="1">
      <alignment/>
      <protection/>
    </xf>
    <xf numFmtId="0" fontId="33" fillId="0" borderId="0" xfId="53" applyFont="1" applyFill="1" applyBorder="1" applyAlignment="1">
      <alignment horizontal="center" vertical="center"/>
      <protection/>
    </xf>
    <xf numFmtId="0" fontId="33" fillId="0" borderId="0" xfId="53" applyNumberFormat="1" applyFont="1" applyFill="1" applyBorder="1" applyAlignment="1">
      <alignment wrapText="1"/>
      <protection/>
    </xf>
    <xf numFmtId="0" fontId="33" fillId="0" borderId="0" xfId="53" applyFont="1" applyFill="1" applyBorder="1">
      <alignment/>
      <protection/>
    </xf>
    <xf numFmtId="0" fontId="18" fillId="0" borderId="38" xfId="53" applyFont="1" applyFill="1" applyBorder="1" applyAlignment="1">
      <alignment horizontal="right"/>
      <protection/>
    </xf>
    <xf numFmtId="0" fontId="18" fillId="0" borderId="38" xfId="53" applyFont="1" applyFill="1" applyBorder="1">
      <alignment/>
      <protection/>
    </xf>
    <xf numFmtId="0" fontId="33" fillId="0" borderId="37" xfId="53" applyFont="1" applyFill="1" applyBorder="1">
      <alignment/>
      <protection/>
    </xf>
    <xf numFmtId="0" fontId="33" fillId="0" borderId="0" xfId="53" applyFont="1" applyFill="1" applyAlignment="1">
      <alignment horizontal="right"/>
      <protection/>
    </xf>
    <xf numFmtId="0" fontId="33" fillId="0" borderId="41" xfId="53" applyFont="1" applyFill="1" applyBorder="1">
      <alignment/>
      <protection/>
    </xf>
    <xf numFmtId="0" fontId="26" fillId="0" borderId="37" xfId="53" applyFont="1" applyFill="1" applyBorder="1">
      <alignment/>
      <protection/>
    </xf>
    <xf numFmtId="0" fontId="35" fillId="0" borderId="0" xfId="53" applyFont="1" applyFill="1">
      <alignment/>
      <protection/>
    </xf>
    <xf numFmtId="0" fontId="32" fillId="0" borderId="0" xfId="53" applyFont="1" applyFill="1">
      <alignment/>
      <protection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0" fontId="28" fillId="0" borderId="27" xfId="0" applyFont="1" applyBorder="1" applyAlignment="1">
      <alignment wrapText="1"/>
    </xf>
    <xf numFmtId="3" fontId="18" fillId="0" borderId="0" xfId="53" applyNumberFormat="1" applyFont="1" applyFill="1" applyAlignment="1">
      <alignment horizontal="center"/>
      <protection/>
    </xf>
    <xf numFmtId="3" fontId="18" fillId="0" borderId="0" xfId="53" applyNumberFormat="1" applyFont="1" applyFill="1">
      <alignment/>
      <protection/>
    </xf>
    <xf numFmtId="0" fontId="18" fillId="0" borderId="34" xfId="53" applyFont="1" applyFill="1" applyBorder="1" applyAlignment="1">
      <alignment horizontal="center" textRotation="90"/>
      <protection/>
    </xf>
    <xf numFmtId="4" fontId="18" fillId="23" borderId="10" xfId="53" applyNumberFormat="1" applyFont="1" applyFill="1" applyBorder="1">
      <alignment/>
      <protection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4" fontId="5" fillId="2" borderId="0" xfId="0" applyNumberFormat="1" applyFont="1" applyFill="1" applyBorder="1" applyAlignment="1">
      <alignment horizontal="center" vertical="top" wrapText="1"/>
    </xf>
    <xf numFmtId="0" fontId="18" fillId="0" borderId="16" xfId="53" applyFont="1" applyBorder="1" applyAlignment="1">
      <alignment wrapText="1"/>
      <protection/>
    </xf>
    <xf numFmtId="0" fontId="18" fillId="0" borderId="16" xfId="53" applyFont="1" applyBorder="1">
      <alignment/>
      <protection/>
    </xf>
    <xf numFmtId="0" fontId="18" fillId="0" borderId="18" xfId="53" applyFont="1" applyBorder="1">
      <alignment/>
      <protection/>
    </xf>
    <xf numFmtId="0" fontId="26" fillId="0" borderId="28" xfId="0" applyFont="1" applyBorder="1" applyAlignment="1">
      <alignment wrapText="1"/>
    </xf>
    <xf numFmtId="0" fontId="0" fillId="0" borderId="16" xfId="0" applyFill="1" applyBorder="1" applyAlignment="1">
      <alignment/>
    </xf>
    <xf numFmtId="2" fontId="5" fillId="0" borderId="17" xfId="0" applyNumberFormat="1" applyFont="1" applyBorder="1" applyAlignment="1">
      <alignment vertical="top" wrapText="1"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center" vertical="center" wrapText="1"/>
      <protection/>
    </xf>
    <xf numFmtId="174" fontId="0" fillId="0" borderId="0" xfId="0" applyNumberFormat="1" applyAlignment="1">
      <alignment/>
    </xf>
    <xf numFmtId="2" fontId="5" fillId="2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5" fillId="0" borderId="28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2" fontId="5" fillId="0" borderId="45" xfId="0" applyNumberFormat="1" applyFont="1" applyBorder="1" applyAlignment="1">
      <alignment horizontal="center" vertical="top" wrapText="1"/>
    </xf>
    <xf numFmtId="2" fontId="5" fillId="8" borderId="20" xfId="0" applyNumberFormat="1" applyFont="1" applyFill="1" applyBorder="1" applyAlignment="1">
      <alignment horizontal="center" vertical="top" wrapText="1"/>
    </xf>
    <xf numFmtId="0" fontId="34" fillId="0" borderId="0" xfId="53" applyFont="1" applyFill="1" applyAlignment="1">
      <alignment horizontal="right"/>
      <protection/>
    </xf>
    <xf numFmtId="0" fontId="5" fillId="24" borderId="41" xfId="53" applyFont="1" applyFill="1" applyBorder="1">
      <alignment/>
      <protection/>
    </xf>
    <xf numFmtId="0" fontId="5" fillId="24" borderId="41" xfId="53" applyFont="1" applyFill="1" applyBorder="1" applyAlignment="1">
      <alignment horizontal="center"/>
      <protection/>
    </xf>
    <xf numFmtId="0" fontId="5" fillId="24" borderId="0" xfId="53" applyFont="1" applyFill="1">
      <alignment/>
      <protection/>
    </xf>
    <xf numFmtId="0" fontId="33" fillId="0" borderId="37" xfId="53" applyFont="1" applyFill="1" applyBorder="1" applyAlignment="1">
      <alignment/>
      <protection/>
    </xf>
    <xf numFmtId="14" fontId="18" fillId="0" borderId="37" xfId="53" applyNumberFormat="1" applyFont="1" applyBorder="1">
      <alignment/>
      <protection/>
    </xf>
    <xf numFmtId="0" fontId="18" fillId="0" borderId="37" xfId="53" applyFont="1" applyBorder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0" fontId="18" fillId="8" borderId="0" xfId="53" applyFont="1" applyFill="1">
      <alignment/>
      <protection/>
    </xf>
    <xf numFmtId="4" fontId="18" fillId="8" borderId="10" xfId="53" applyNumberFormat="1" applyFont="1" applyFill="1" applyBorder="1">
      <alignment/>
      <protection/>
    </xf>
    <xf numFmtId="4" fontId="18" fillId="8" borderId="0" xfId="53" applyNumberFormat="1" applyFont="1" applyFill="1">
      <alignment/>
      <protection/>
    </xf>
    <xf numFmtId="0" fontId="20" fillId="8" borderId="0" xfId="53" applyFont="1" applyFill="1">
      <alignment/>
      <protection/>
    </xf>
    <xf numFmtId="4" fontId="20" fillId="8" borderId="10" xfId="53" applyNumberFormat="1" applyFont="1" applyFill="1" applyBorder="1">
      <alignment/>
      <protection/>
    </xf>
    <xf numFmtId="4" fontId="20" fillId="8" borderId="0" xfId="53" applyNumberFormat="1" applyFont="1" applyFill="1">
      <alignment/>
      <protection/>
    </xf>
    <xf numFmtId="0" fontId="18" fillId="25" borderId="0" xfId="53" applyFont="1" applyFill="1">
      <alignment/>
      <protection/>
    </xf>
    <xf numFmtId="4" fontId="18" fillId="25" borderId="10" xfId="53" applyNumberFormat="1" applyFont="1" applyFill="1" applyBorder="1">
      <alignment/>
      <protection/>
    </xf>
    <xf numFmtId="4" fontId="18" fillId="25" borderId="0" xfId="53" applyNumberFormat="1" applyFont="1" applyFill="1">
      <alignment/>
      <protection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right"/>
    </xf>
    <xf numFmtId="169" fontId="24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wrapText="1"/>
    </xf>
    <xf numFmtId="0" fontId="5" fillId="10" borderId="19" xfId="0" applyFont="1" applyFill="1" applyBorder="1" applyAlignment="1">
      <alignment horizontal="center" vertical="top" wrapText="1"/>
    </xf>
    <xf numFmtId="4" fontId="5" fillId="10" borderId="20" xfId="0" applyNumberFormat="1" applyFont="1" applyFill="1" applyBorder="1" applyAlignment="1">
      <alignment horizontal="center" vertical="top" wrapText="1"/>
    </xf>
    <xf numFmtId="0" fontId="5" fillId="10" borderId="23" xfId="0" applyFont="1" applyFill="1" applyBorder="1" applyAlignment="1">
      <alignment vertical="top" wrapText="1"/>
    </xf>
    <xf numFmtId="0" fontId="5" fillId="10" borderId="24" xfId="0" applyFont="1" applyFill="1" applyBorder="1" applyAlignment="1">
      <alignment vertical="top" wrapText="1"/>
    </xf>
    <xf numFmtId="0" fontId="5" fillId="10" borderId="24" xfId="0" applyFont="1" applyFill="1" applyBorder="1" applyAlignment="1">
      <alignment horizontal="center" vertical="top" wrapText="1"/>
    </xf>
    <xf numFmtId="4" fontId="5" fillId="10" borderId="25" xfId="0" applyNumberFormat="1" applyFont="1" applyFill="1" applyBorder="1" applyAlignment="1">
      <alignment horizontal="center" vertical="top" wrapText="1"/>
    </xf>
    <xf numFmtId="0" fontId="5" fillId="10" borderId="18" xfId="0" applyFont="1" applyFill="1" applyBorder="1" applyAlignment="1">
      <alignment vertical="top" wrapText="1"/>
    </xf>
    <xf numFmtId="10" fontId="5" fillId="10" borderId="19" xfId="0" applyNumberFormat="1" applyFont="1" applyFill="1" applyBorder="1" applyAlignment="1">
      <alignment horizontal="center" vertical="top" wrapText="1"/>
    </xf>
    <xf numFmtId="2" fontId="5" fillId="10" borderId="19" xfId="0" applyNumberFormat="1" applyFont="1" applyFill="1" applyBorder="1" applyAlignment="1">
      <alignment horizontal="center" vertical="top" wrapText="1"/>
    </xf>
    <xf numFmtId="3" fontId="5" fillId="10" borderId="20" xfId="0" applyNumberFormat="1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45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18" fillId="0" borderId="0" xfId="53" applyFont="1" applyFill="1" applyAlignment="1">
      <alignment/>
      <protection/>
    </xf>
    <xf numFmtId="0" fontId="18" fillId="0" borderId="16" xfId="53" applyFont="1" applyBorder="1" applyAlignment="1">
      <alignment wrapText="1"/>
      <protection/>
    </xf>
    <xf numFmtId="4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1" fontId="5" fillId="0" borderId="10" xfId="53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2" fontId="0" fillId="0" borderId="37" xfId="0" applyNumberFormat="1" applyBorder="1" applyAlignment="1">
      <alignment/>
    </xf>
    <xf numFmtId="0" fontId="0" fillId="0" borderId="11" xfId="0" applyBorder="1" applyAlignment="1">
      <alignment/>
    </xf>
    <xf numFmtId="2" fontId="0" fillId="24" borderId="15" xfId="0" applyNumberFormat="1" applyFill="1" applyBorder="1" applyAlignment="1">
      <alignment/>
    </xf>
    <xf numFmtId="2" fontId="0" fillId="24" borderId="27" xfId="0" applyNumberFormat="1" applyFill="1" applyBorder="1" applyAlignment="1">
      <alignment/>
    </xf>
    <xf numFmtId="0" fontId="0" fillId="24" borderId="17" xfId="0" applyFill="1" applyBorder="1" applyAlignment="1">
      <alignment/>
    </xf>
    <xf numFmtId="2" fontId="0" fillId="24" borderId="17" xfId="0" applyNumberFormat="1" applyFill="1" applyBorder="1" applyAlignment="1">
      <alignment/>
    </xf>
    <xf numFmtId="1" fontId="0" fillId="24" borderId="17" xfId="0" applyNumberFormat="1" applyFill="1" applyBorder="1" applyAlignment="1">
      <alignment/>
    </xf>
    <xf numFmtId="4" fontId="0" fillId="25" borderId="17" xfId="0" applyNumberFormat="1" applyFill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0" fontId="18" fillId="0" borderId="0" xfId="53" applyFont="1">
      <alignment/>
      <protection/>
    </xf>
    <xf numFmtId="4" fontId="0" fillId="24" borderId="17" xfId="0" applyNumberFormat="1" applyFill="1" applyBorder="1" applyAlignment="1">
      <alignment horizontal="center"/>
    </xf>
    <xf numFmtId="0" fontId="21" fillId="0" borderId="39" xfId="53" applyFont="1" applyBorder="1" applyAlignment="1">
      <alignment horizontal="center"/>
      <protection/>
    </xf>
    <xf numFmtId="0" fontId="21" fillId="0" borderId="22" xfId="53" applyFont="1" applyBorder="1" applyAlignment="1">
      <alignment horizontal="center"/>
      <protection/>
    </xf>
    <xf numFmtId="0" fontId="21" fillId="0" borderId="10" xfId="53" applyFont="1" applyBorder="1" applyAlignment="1">
      <alignment horizontal="right" wrapText="1"/>
      <protection/>
    </xf>
    <xf numFmtId="0" fontId="21" fillId="0" borderId="10" xfId="53" applyFont="1" applyBorder="1" applyAlignment="1">
      <alignment wrapText="1"/>
      <protection/>
    </xf>
    <xf numFmtId="0" fontId="5" fillId="25" borderId="10" xfId="0" applyFont="1" applyFill="1" applyBorder="1" applyAlignment="1">
      <alignment/>
    </xf>
    <xf numFmtId="0" fontId="46" fillId="0" borderId="10" xfId="53" applyFont="1" applyFill="1" applyBorder="1">
      <alignment/>
      <protection/>
    </xf>
    <xf numFmtId="0" fontId="46" fillId="0" borderId="10" xfId="53" applyFont="1" applyFill="1" applyBorder="1" applyAlignment="1">
      <alignment horizontal="center"/>
      <protection/>
    </xf>
    <xf numFmtId="0" fontId="46" fillId="0" borderId="0" xfId="53" applyFont="1" applyFill="1" applyBorder="1" applyAlignment="1">
      <alignment horizontal="center"/>
      <protection/>
    </xf>
    <xf numFmtId="4" fontId="46" fillId="26" borderId="10" xfId="53" applyNumberFormat="1" applyFont="1" applyFill="1" applyBorder="1">
      <alignment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>
      <alignment/>
      <protection/>
    </xf>
    <xf numFmtId="4" fontId="46" fillId="4" borderId="10" xfId="53" applyNumberFormat="1" applyFont="1" applyFill="1" applyBorder="1">
      <alignment/>
      <protection/>
    </xf>
    <xf numFmtId="4" fontId="46" fillId="0" borderId="10" xfId="53" applyNumberFormat="1" applyFont="1" applyFill="1" applyBorder="1">
      <alignment/>
      <protection/>
    </xf>
    <xf numFmtId="0" fontId="46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left" vertical="top" wrapText="1"/>
      <protection/>
    </xf>
    <xf numFmtId="4" fontId="46" fillId="23" borderId="10" xfId="53" applyNumberFormat="1" applyFont="1" applyFill="1" applyBorder="1">
      <alignment/>
      <protection/>
    </xf>
    <xf numFmtId="0" fontId="3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47" fillId="0" borderId="10" xfId="53" applyFont="1" applyFill="1" applyBorder="1">
      <alignment/>
      <protection/>
    </xf>
    <xf numFmtId="4" fontId="47" fillId="0" borderId="10" xfId="53" applyNumberFormat="1" applyFont="1" applyFill="1" applyBorder="1">
      <alignment/>
      <protection/>
    </xf>
    <xf numFmtId="0" fontId="46" fillId="8" borderId="10" xfId="53" applyFont="1" applyFill="1" applyBorder="1">
      <alignment/>
      <protection/>
    </xf>
    <xf numFmtId="4" fontId="46" fillId="8" borderId="10" xfId="53" applyNumberFormat="1" applyFont="1" applyFill="1" applyBorder="1">
      <alignment/>
      <protection/>
    </xf>
    <xf numFmtId="4" fontId="48" fillId="8" borderId="10" xfId="53" applyNumberFormat="1" applyFont="1" applyFill="1" applyBorder="1">
      <alignment/>
      <protection/>
    </xf>
    <xf numFmtId="0" fontId="46" fillId="25" borderId="10" xfId="53" applyFont="1" applyFill="1" applyBorder="1">
      <alignment/>
      <protection/>
    </xf>
    <xf numFmtId="4" fontId="46" fillId="25" borderId="10" xfId="53" applyNumberFormat="1" applyFont="1" applyFill="1" applyBorder="1">
      <alignment/>
      <protection/>
    </xf>
    <xf numFmtId="4" fontId="48" fillId="25" borderId="10" xfId="53" applyNumberFormat="1" applyFont="1" applyFill="1" applyBorder="1">
      <alignment/>
      <protection/>
    </xf>
    <xf numFmtId="4" fontId="47" fillId="2" borderId="10" xfId="53" applyNumberFormat="1" applyFont="1" applyFill="1" applyBorder="1">
      <alignment/>
      <protection/>
    </xf>
    <xf numFmtId="4" fontId="48" fillId="2" borderId="10" xfId="53" applyNumberFormat="1" applyFont="1" applyFill="1" applyBorder="1">
      <alignment/>
      <protection/>
    </xf>
    <xf numFmtId="0" fontId="47" fillId="8" borderId="10" xfId="53" applyFont="1" applyFill="1" applyBorder="1">
      <alignment/>
      <protection/>
    </xf>
    <xf numFmtId="4" fontId="47" fillId="8" borderId="10" xfId="53" applyNumberFormat="1" applyFont="1" applyFill="1" applyBorder="1">
      <alignment/>
      <protection/>
    </xf>
    <xf numFmtId="4" fontId="46" fillId="2" borderId="10" xfId="53" applyNumberFormat="1" applyFont="1" applyFill="1" applyBorder="1">
      <alignment/>
      <protection/>
    </xf>
    <xf numFmtId="0" fontId="46" fillId="0" borderId="0" xfId="53" applyFont="1" applyFill="1">
      <alignment/>
      <protection/>
    </xf>
    <xf numFmtId="4" fontId="46" fillId="0" borderId="0" xfId="53" applyNumberFormat="1" applyFont="1" applyFill="1">
      <alignment/>
      <protection/>
    </xf>
    <xf numFmtId="0" fontId="46" fillId="0" borderId="0" xfId="53" applyFont="1" applyFill="1" applyAlignment="1">
      <alignment/>
      <protection/>
    </xf>
    <xf numFmtId="0" fontId="18" fillId="0" borderId="22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39" xfId="53" applyFont="1" applyBorder="1" applyAlignment="1">
      <alignment horizontal="center" vertical="center" wrapText="1"/>
      <protection/>
    </xf>
    <xf numFmtId="0" fontId="18" fillId="0" borderId="41" xfId="53" applyFont="1" applyBorder="1" applyAlignment="1">
      <alignment horizontal="center" vertical="center" wrapText="1"/>
      <protection/>
    </xf>
    <xf numFmtId="0" fontId="18" fillId="0" borderId="0" xfId="53" applyFont="1" applyAlignment="1">
      <alignment horizontal="left" wrapText="1"/>
      <protection/>
    </xf>
    <xf numFmtId="0" fontId="18" fillId="0" borderId="39" xfId="53" applyFont="1" applyBorder="1" applyAlignment="1">
      <alignment horizontal="center" vertical="center"/>
      <protection/>
    </xf>
    <xf numFmtId="0" fontId="18" fillId="0" borderId="41" xfId="53" applyFont="1" applyBorder="1" applyAlignment="1">
      <alignment horizontal="center" vertical="center"/>
      <protection/>
    </xf>
    <xf numFmtId="0" fontId="18" fillId="0" borderId="22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left"/>
      <protection/>
    </xf>
    <xf numFmtId="0" fontId="23" fillId="0" borderId="34" xfId="53" applyFont="1" applyBorder="1" applyAlignment="1">
      <alignment horizontal="left"/>
      <protection/>
    </xf>
    <xf numFmtId="0" fontId="23" fillId="0" borderId="33" xfId="53" applyFont="1" applyBorder="1" applyAlignment="1">
      <alignment horizontal="left" wrapText="1"/>
      <protection/>
    </xf>
    <xf numFmtId="0" fontId="23" fillId="0" borderId="0" xfId="53" applyFont="1" applyBorder="1" applyAlignment="1">
      <alignment horizontal="left" wrapText="1"/>
      <protection/>
    </xf>
    <xf numFmtId="0" fontId="23" fillId="0" borderId="34" xfId="53" applyFont="1" applyBorder="1" applyAlignment="1">
      <alignment horizontal="left" wrapText="1"/>
      <protection/>
    </xf>
    <xf numFmtId="4" fontId="18" fillId="0" borderId="39" xfId="53" applyNumberFormat="1" applyFont="1" applyBorder="1" applyAlignment="1">
      <alignment horizontal="center"/>
      <protection/>
    </xf>
    <xf numFmtId="4" fontId="18" fillId="0" borderId="41" xfId="53" applyNumberFormat="1" applyFont="1" applyBorder="1" applyAlignment="1">
      <alignment horizontal="center"/>
      <protection/>
    </xf>
    <xf numFmtId="4" fontId="18" fillId="0" borderId="22" xfId="53" applyNumberFormat="1" applyFont="1" applyBorder="1" applyAlignment="1">
      <alignment horizontal="center"/>
      <protection/>
    </xf>
    <xf numFmtId="0" fontId="18" fillId="0" borderId="22" xfId="53" applyFont="1" applyBorder="1" applyAlignment="1">
      <alignment horizontal="center"/>
      <protection/>
    </xf>
    <xf numFmtId="0" fontId="23" fillId="0" borderId="33" xfId="53" applyFont="1" applyBorder="1" applyAlignment="1">
      <alignment horizontal="left"/>
      <protection/>
    </xf>
    <xf numFmtId="0" fontId="23" fillId="0" borderId="40" xfId="53" applyFont="1" applyBorder="1" applyAlignment="1">
      <alignment horizontal="left" wrapText="1"/>
      <protection/>
    </xf>
    <xf numFmtId="0" fontId="18" fillId="0" borderId="37" xfId="53" applyFont="1" applyBorder="1" applyAlignment="1">
      <alignment horizontal="center"/>
      <protection/>
    </xf>
    <xf numFmtId="0" fontId="21" fillId="0" borderId="10" xfId="53" applyFont="1" applyBorder="1" applyAlignment="1">
      <alignment horizontal="left" vertical="top" wrapText="1"/>
      <protection/>
    </xf>
    <xf numFmtId="4" fontId="21" fillId="0" borderId="10" xfId="53" applyNumberFormat="1" applyFont="1" applyBorder="1" applyAlignment="1">
      <alignment horizontal="center"/>
      <protection/>
    </xf>
    <xf numFmtId="0" fontId="18" fillId="0" borderId="39" xfId="53" applyFont="1" applyBorder="1" applyAlignment="1">
      <alignment horizontal="center"/>
      <protection/>
    </xf>
    <xf numFmtId="0" fontId="18" fillId="0" borderId="41" xfId="53" applyFont="1" applyBorder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18" fillId="0" borderId="39" xfId="53" applyFont="1" applyBorder="1" applyAlignment="1">
      <alignment horizontal="left" wrapText="1"/>
      <protection/>
    </xf>
    <xf numFmtId="0" fontId="18" fillId="0" borderId="41" xfId="53" applyFont="1" applyBorder="1" applyAlignment="1">
      <alignment horizontal="left" wrapText="1"/>
      <protection/>
    </xf>
    <xf numFmtId="0" fontId="18" fillId="0" borderId="22" xfId="53" applyFont="1" applyBorder="1" applyAlignment="1">
      <alignment horizontal="left" wrapText="1"/>
      <protection/>
    </xf>
    <xf numFmtId="2" fontId="18" fillId="0" borderId="39" xfId="53" applyNumberFormat="1" applyFont="1" applyBorder="1" applyAlignment="1">
      <alignment horizontal="center"/>
      <protection/>
    </xf>
    <xf numFmtId="2" fontId="18" fillId="0" borderId="41" xfId="53" applyNumberFormat="1" applyFont="1" applyBorder="1" applyAlignment="1">
      <alignment horizontal="center"/>
      <protection/>
    </xf>
    <xf numFmtId="2" fontId="18" fillId="0" borderId="22" xfId="53" applyNumberFormat="1" applyFont="1" applyBorder="1" applyAlignment="1">
      <alignment horizontal="center"/>
      <protection/>
    </xf>
    <xf numFmtId="0" fontId="23" fillId="0" borderId="39" xfId="53" applyFont="1" applyBorder="1" applyAlignment="1">
      <alignment horizontal="left" wrapText="1"/>
      <protection/>
    </xf>
    <xf numFmtId="0" fontId="23" fillId="0" borderId="41" xfId="53" applyFont="1" applyBorder="1" applyAlignment="1">
      <alignment horizontal="left" wrapText="1"/>
      <protection/>
    </xf>
    <xf numFmtId="0" fontId="23" fillId="0" borderId="22" xfId="53" applyFont="1" applyBorder="1" applyAlignment="1">
      <alignment horizontal="left" wrapText="1"/>
      <protection/>
    </xf>
    <xf numFmtId="0" fontId="23" fillId="0" borderId="54" xfId="53" applyFont="1" applyBorder="1" applyAlignment="1">
      <alignment horizontal="left" wrapText="1"/>
      <protection/>
    </xf>
    <xf numFmtId="0" fontId="23" fillId="0" borderId="32" xfId="53" applyFont="1" applyBorder="1" applyAlignment="1">
      <alignment horizontal="left" wrapText="1"/>
      <protection/>
    </xf>
    <xf numFmtId="0" fontId="18" fillId="0" borderId="39" xfId="53" applyFont="1" applyBorder="1" applyAlignment="1">
      <alignment horizontal="center"/>
      <protection/>
    </xf>
    <xf numFmtId="0" fontId="18" fillId="0" borderId="22" xfId="53" applyFont="1" applyBorder="1" applyAlignment="1">
      <alignment horizontal="center"/>
      <protection/>
    </xf>
    <xf numFmtId="0" fontId="5" fillId="0" borderId="39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/>
      <protection/>
    </xf>
    <xf numFmtId="0" fontId="21" fillId="0" borderId="39" xfId="53" applyFont="1" applyBorder="1" applyAlignment="1">
      <alignment horizontal="center" vertical="center" wrapText="1"/>
      <protection/>
    </xf>
    <xf numFmtId="0" fontId="21" fillId="0" borderId="41" xfId="53" applyFont="1" applyBorder="1" applyAlignment="1">
      <alignment horizontal="center" vertical="center" wrapText="1"/>
      <protection/>
    </xf>
    <xf numFmtId="0" fontId="21" fillId="0" borderId="22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0" fontId="21" fillId="0" borderId="39" xfId="53" applyNumberFormat="1" applyFont="1" applyFill="1" applyBorder="1" applyAlignment="1">
      <alignment horizontal="center" wrapText="1"/>
      <protection/>
    </xf>
    <xf numFmtId="0" fontId="21" fillId="0" borderId="22" xfId="53" applyNumberFormat="1" applyFont="1" applyFill="1" applyBorder="1" applyAlignment="1">
      <alignment horizont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5" fillId="0" borderId="39" xfId="53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21" fillId="0" borderId="39" xfId="53" applyFont="1" applyFill="1" applyBorder="1" applyAlignment="1">
      <alignment horizontal="center"/>
      <protection/>
    </xf>
    <xf numFmtId="0" fontId="21" fillId="0" borderId="22" xfId="53" applyFont="1" applyFill="1" applyBorder="1" applyAlignment="1">
      <alignment horizontal="center"/>
      <protection/>
    </xf>
    <xf numFmtId="0" fontId="5" fillId="0" borderId="39" xfId="53" applyNumberFormat="1" applyFont="1" applyFill="1" applyBorder="1" applyAlignment="1">
      <alignment horizontal="center" vertical="center" wrapText="1"/>
      <protection/>
    </xf>
    <xf numFmtId="0" fontId="5" fillId="0" borderId="22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wrapText="1"/>
      <protection/>
    </xf>
    <xf numFmtId="0" fontId="5" fillId="0" borderId="39" xfId="53" applyFont="1" applyFill="1" applyBorder="1" applyAlignment="1">
      <alignment horizontal="left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  <xf numFmtId="0" fontId="21" fillId="0" borderId="39" xfId="53" applyFont="1" applyBorder="1" applyAlignment="1">
      <alignment horizontal="center"/>
      <protection/>
    </xf>
    <xf numFmtId="0" fontId="21" fillId="0" borderId="22" xfId="53" applyFont="1" applyBorder="1" applyAlignment="1">
      <alignment horizontal="center"/>
      <protection/>
    </xf>
    <xf numFmtId="0" fontId="21" fillId="0" borderId="39" xfId="53" applyFont="1" applyBorder="1" applyAlignment="1">
      <alignment horizontal="center" wrapText="1"/>
      <protection/>
    </xf>
    <xf numFmtId="0" fontId="21" fillId="0" borderId="22" xfId="53" applyFont="1" applyBorder="1" applyAlignment="1">
      <alignment horizontal="center" wrapText="1"/>
      <protection/>
    </xf>
    <xf numFmtId="0" fontId="21" fillId="0" borderId="39" xfId="53" applyFont="1" applyBorder="1" applyAlignment="1">
      <alignment horizontal="left" wrapText="1"/>
      <protection/>
    </xf>
    <xf numFmtId="0" fontId="21" fillId="0" borderId="41" xfId="53" applyFont="1" applyBorder="1" applyAlignment="1">
      <alignment horizontal="left" wrapText="1"/>
      <protection/>
    </xf>
    <xf numFmtId="0" fontId="21" fillId="0" borderId="22" xfId="53" applyFont="1" applyBorder="1" applyAlignment="1">
      <alignment horizontal="left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39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39" xfId="53" applyFont="1" applyBorder="1" applyAlignment="1">
      <alignment horizontal="left" vertical="center" wrapText="1"/>
      <protection/>
    </xf>
    <xf numFmtId="0" fontId="21" fillId="0" borderId="41" xfId="53" applyFont="1" applyBorder="1" applyAlignment="1">
      <alignment horizontal="left" vertical="center" wrapText="1"/>
      <protection/>
    </xf>
    <xf numFmtId="0" fontId="21" fillId="0" borderId="22" xfId="53" applyFont="1" applyBorder="1" applyAlignment="1">
      <alignment horizontal="left" vertical="center" wrapText="1"/>
      <protection/>
    </xf>
    <xf numFmtId="0" fontId="21" fillId="0" borderId="39" xfId="53" applyFont="1" applyBorder="1" applyAlignment="1">
      <alignment horizontal="right"/>
      <protection/>
    </xf>
    <xf numFmtId="0" fontId="21" fillId="0" borderId="22" xfId="53" applyFont="1" applyBorder="1" applyAlignment="1">
      <alignment horizontal="right"/>
      <protection/>
    </xf>
    <xf numFmtId="0" fontId="23" fillId="0" borderId="39" xfId="53" applyFont="1" applyBorder="1" applyAlignment="1">
      <alignment wrapText="1"/>
      <protection/>
    </xf>
    <xf numFmtId="0" fontId="23" fillId="0" borderId="41" xfId="53" applyFont="1" applyBorder="1" applyAlignment="1">
      <alignment wrapText="1"/>
      <protection/>
    </xf>
    <xf numFmtId="0" fontId="23" fillId="0" borderId="22" xfId="53" applyFont="1" applyBorder="1" applyAlignment="1">
      <alignment wrapText="1"/>
      <protection/>
    </xf>
    <xf numFmtId="0" fontId="21" fillId="0" borderId="39" xfId="53" applyFont="1" applyBorder="1" applyAlignment="1">
      <alignment/>
      <protection/>
    </xf>
    <xf numFmtId="0" fontId="21" fillId="0" borderId="22" xfId="53" applyFont="1" applyBorder="1" applyAlignment="1">
      <alignment/>
      <protection/>
    </xf>
    <xf numFmtId="0" fontId="21" fillId="0" borderId="54" xfId="53" applyFont="1" applyBorder="1" applyAlignment="1">
      <alignment horizontal="center" vertical="center" wrapText="1"/>
      <protection/>
    </xf>
    <xf numFmtId="0" fontId="21" fillId="0" borderId="40" xfId="53" applyFont="1" applyBorder="1" applyAlignment="1">
      <alignment horizontal="center" vertical="center" wrapText="1"/>
      <protection/>
    </xf>
    <xf numFmtId="0" fontId="21" fillId="0" borderId="35" xfId="53" applyFont="1" applyBorder="1" applyAlignment="1">
      <alignment horizontal="center" vertical="center" wrapText="1"/>
      <protection/>
    </xf>
    <xf numFmtId="0" fontId="21" fillId="0" borderId="36" xfId="53" applyFont="1" applyBorder="1" applyAlignment="1">
      <alignment horizontal="center" vertical="center" wrapText="1"/>
      <protection/>
    </xf>
    <xf numFmtId="0" fontId="21" fillId="0" borderId="39" xfId="53" applyFont="1" applyBorder="1" applyAlignment="1">
      <alignment horizontal="center"/>
      <protection/>
    </xf>
    <xf numFmtId="0" fontId="21" fillId="0" borderId="22" xfId="53" applyFont="1" applyBorder="1" applyAlignment="1">
      <alignment horizontal="center"/>
      <protection/>
    </xf>
    <xf numFmtId="0" fontId="21" fillId="0" borderId="39" xfId="53" applyFont="1" applyBorder="1" applyAlignment="1">
      <alignment horizontal="center" wrapText="1"/>
      <protection/>
    </xf>
    <xf numFmtId="0" fontId="21" fillId="0" borderId="41" xfId="53" applyFont="1" applyBorder="1" applyAlignment="1">
      <alignment horizontal="center" wrapText="1"/>
      <protection/>
    </xf>
    <xf numFmtId="0" fontId="21" fillId="0" borderId="22" xfId="53" applyFont="1" applyBorder="1" applyAlignment="1">
      <alignment horizontal="center" wrapText="1"/>
      <protection/>
    </xf>
    <xf numFmtId="0" fontId="21" fillId="0" borderId="39" xfId="53" applyFont="1" applyBorder="1" applyAlignment="1">
      <alignment wrapText="1"/>
      <protection/>
    </xf>
    <xf numFmtId="0" fontId="21" fillId="0" borderId="41" xfId="53" applyFont="1" applyBorder="1" applyAlignment="1">
      <alignment wrapText="1"/>
      <protection/>
    </xf>
    <xf numFmtId="0" fontId="21" fillId="0" borderId="22" xfId="53" applyFont="1" applyBorder="1" applyAlignment="1">
      <alignment wrapText="1"/>
      <protection/>
    </xf>
    <xf numFmtId="0" fontId="21" fillId="0" borderId="39" xfId="53" applyFont="1" applyBorder="1" applyAlignment="1">
      <alignment horizontal="left" wrapText="1"/>
      <protection/>
    </xf>
    <xf numFmtId="0" fontId="21" fillId="0" borderId="54" xfId="53" applyFont="1" applyBorder="1" applyAlignment="1">
      <alignment horizontal="left" vertical="top" wrapText="1"/>
      <protection/>
    </xf>
    <xf numFmtId="0" fontId="21" fillId="0" borderId="40" xfId="53" applyFont="1" applyBorder="1" applyAlignment="1">
      <alignment horizontal="left" vertical="top" wrapText="1"/>
      <protection/>
    </xf>
    <xf numFmtId="0" fontId="21" fillId="0" borderId="35" xfId="53" applyFont="1" applyBorder="1" applyAlignment="1">
      <alignment horizontal="left" vertical="top" wrapText="1"/>
      <protection/>
    </xf>
    <xf numFmtId="0" fontId="21" fillId="0" borderId="36" xfId="53" applyFont="1" applyBorder="1" applyAlignment="1">
      <alignment horizontal="left" vertical="top" wrapText="1"/>
      <protection/>
    </xf>
    <xf numFmtId="4" fontId="21" fillId="0" borderId="39" xfId="53" applyNumberFormat="1" applyFont="1" applyBorder="1" applyAlignment="1">
      <alignment horizontal="center"/>
      <protection/>
    </xf>
    <xf numFmtId="4" fontId="21" fillId="0" borderId="22" xfId="53" applyNumberFormat="1" applyFont="1" applyBorder="1" applyAlignment="1">
      <alignment horizontal="center"/>
      <protection/>
    </xf>
    <xf numFmtId="0" fontId="37" fillId="0" borderId="10" xfId="53" applyFont="1" applyBorder="1" applyAlignment="1">
      <alignment horizontal="center" vertical="top" wrapText="1"/>
      <protection/>
    </xf>
    <xf numFmtId="0" fontId="37" fillId="0" borderId="33" xfId="53" applyFont="1" applyBorder="1" applyAlignment="1">
      <alignment horizontal="center" vertical="top" wrapText="1"/>
      <protection/>
    </xf>
    <xf numFmtId="0" fontId="37" fillId="0" borderId="34" xfId="53" applyFont="1" applyBorder="1" applyAlignment="1">
      <alignment horizontal="center" vertical="top" wrapText="1"/>
      <protection/>
    </xf>
    <xf numFmtId="0" fontId="37" fillId="0" borderId="10" xfId="53" applyFont="1" applyBorder="1" applyAlignment="1">
      <alignment horizontal="left" vertical="top" wrapText="1"/>
      <protection/>
    </xf>
    <xf numFmtId="0" fontId="37" fillId="0" borderId="32" xfId="53" applyFont="1" applyBorder="1" applyAlignment="1">
      <alignment horizontal="center" wrapText="1"/>
      <protection/>
    </xf>
    <xf numFmtId="0" fontId="37" fillId="0" borderId="54" xfId="53" applyFont="1" applyBorder="1" applyAlignment="1">
      <alignment horizontal="center" vertical="top" wrapText="1"/>
      <protection/>
    </xf>
    <xf numFmtId="0" fontId="37" fillId="0" borderId="40" xfId="53" applyFont="1" applyBorder="1" applyAlignment="1">
      <alignment horizontal="center" vertical="top" wrapText="1"/>
      <protection/>
    </xf>
    <xf numFmtId="0" fontId="37" fillId="0" borderId="54" xfId="53" applyFont="1" applyBorder="1" applyAlignment="1">
      <alignment horizontal="center" wrapText="1"/>
      <protection/>
    </xf>
    <xf numFmtId="0" fontId="37" fillId="0" borderId="40" xfId="53" applyFont="1" applyBorder="1" applyAlignment="1">
      <alignment horizontal="center" wrapText="1"/>
      <protection/>
    </xf>
    <xf numFmtId="0" fontId="19" fillId="0" borderId="10" xfId="53" applyFont="1" applyBorder="1" applyAlignment="1">
      <alignment horizontal="center" vertical="top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33" xfId="53" applyFont="1" applyBorder="1" applyAlignment="1">
      <alignment horizontal="center" vertical="center" wrapText="1"/>
      <protection/>
    </xf>
    <xf numFmtId="0" fontId="21" fillId="0" borderId="34" xfId="53" applyFont="1" applyBorder="1" applyAlignment="1">
      <alignment horizontal="center" vertical="center" wrapText="1"/>
      <protection/>
    </xf>
    <xf numFmtId="0" fontId="21" fillId="0" borderId="30" xfId="53" applyFont="1" applyBorder="1" applyAlignment="1">
      <alignment horizontal="center" vertical="center" wrapText="1"/>
      <protection/>
    </xf>
    <xf numFmtId="0" fontId="41" fillId="0" borderId="0" xfId="53" applyFont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18" fillId="0" borderId="0" xfId="53" applyFont="1" applyAlignment="1">
      <alignment horizontal="center" wrapText="1"/>
      <protection/>
    </xf>
    <xf numFmtId="0" fontId="18" fillId="0" borderId="0" xfId="53" applyFont="1" applyAlignment="1">
      <alignment horizontal="center" wrapText="1"/>
      <protection/>
    </xf>
    <xf numFmtId="0" fontId="46" fillId="0" borderId="0" xfId="53" applyFont="1" applyFill="1" applyAlignment="1">
      <alignment horizontal="center"/>
      <protection/>
    </xf>
    <xf numFmtId="0" fontId="18" fillId="0" borderId="34" xfId="53" applyFont="1" applyFill="1" applyBorder="1" applyAlignment="1">
      <alignment horizontal="center" textRotation="90"/>
      <protection/>
    </xf>
    <xf numFmtId="0" fontId="46" fillId="0" borderId="10" xfId="53" applyFont="1" applyFill="1" applyBorder="1" applyAlignment="1">
      <alignment horizontal="center"/>
      <protection/>
    </xf>
    <xf numFmtId="0" fontId="46" fillId="0" borderId="12" xfId="53" applyFont="1" applyFill="1" applyBorder="1" applyAlignment="1">
      <alignment horizontal="center"/>
      <protection/>
    </xf>
    <xf numFmtId="0" fontId="5" fillId="0" borderId="37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/>
    </xf>
    <xf numFmtId="0" fontId="6" fillId="0" borderId="5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1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3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wrapText="1"/>
    </xf>
    <xf numFmtId="0" fontId="6" fillId="0" borderId="57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16" fontId="6" fillId="0" borderId="55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0" borderId="0" xfId="53" applyFont="1" applyFill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8" fillId="0" borderId="12" xfId="53" applyFont="1" applyFill="1" applyBorder="1" applyAlignment="1">
      <alignment horizontal="center"/>
      <protection/>
    </xf>
    <xf numFmtId="169" fontId="5" fillId="0" borderId="39" xfId="53" applyNumberFormat="1" applyFont="1" applyFill="1" applyBorder="1" applyAlignment="1">
      <alignment horizontal="center" vertical="center"/>
      <protection/>
    </xf>
    <xf numFmtId="169" fontId="5" fillId="0" borderId="22" xfId="53" applyNumberFormat="1" applyFont="1" applyFill="1" applyBorder="1" applyAlignment="1">
      <alignment horizontal="center" vertical="center"/>
      <protection/>
    </xf>
    <xf numFmtId="169" fontId="5" fillId="0" borderId="54" xfId="53" applyNumberFormat="1" applyFont="1" applyFill="1" applyBorder="1" applyAlignment="1">
      <alignment horizontal="center" vertical="center" wrapText="1"/>
      <protection/>
    </xf>
    <xf numFmtId="169" fontId="5" fillId="0" borderId="40" xfId="53" applyNumberFormat="1" applyFont="1" applyFill="1" applyBorder="1" applyAlignment="1">
      <alignment horizontal="center" vertical="center" wrapText="1"/>
      <protection/>
    </xf>
    <xf numFmtId="169" fontId="5" fillId="0" borderId="35" xfId="53" applyNumberFormat="1" applyFont="1" applyFill="1" applyBorder="1" applyAlignment="1">
      <alignment horizontal="center" vertical="center" wrapText="1"/>
      <protection/>
    </xf>
    <xf numFmtId="169" fontId="5" fillId="0" borderId="36" xfId="53" applyNumberFormat="1" applyFont="1" applyFill="1" applyBorder="1" applyAlignment="1">
      <alignment horizontal="center" vertical="center" wrapText="1"/>
      <protection/>
    </xf>
    <xf numFmtId="0" fontId="31" fillId="0" borderId="0" xfId="53" applyFont="1" applyFill="1" applyAlignment="1">
      <alignment horizontal="center"/>
      <protection/>
    </xf>
    <xf numFmtId="0" fontId="5" fillId="0" borderId="41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26" fillId="0" borderId="0" xfId="53" applyFont="1" applyFill="1" applyAlignment="1">
      <alignment horizontal="left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54" xfId="53" applyFont="1" applyFill="1" applyBorder="1" applyAlignment="1">
      <alignment horizontal="center" vertical="center" wrapText="1"/>
      <protection/>
    </xf>
    <xf numFmtId="0" fontId="5" fillId="0" borderId="40" xfId="53" applyFont="1" applyFill="1" applyBorder="1" applyAlignment="1">
      <alignment horizontal="center" vertical="center" wrapText="1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174" fontId="5" fillId="0" borderId="39" xfId="53" applyNumberFormat="1" applyFont="1" applyFill="1" applyBorder="1" applyAlignment="1">
      <alignment/>
      <protection/>
    </xf>
    <xf numFmtId="174" fontId="5" fillId="0" borderId="22" xfId="53" applyNumberFormat="1" applyFont="1" applyFill="1" applyBorder="1" applyAlignment="1">
      <alignment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39" xfId="53" applyFont="1" applyFill="1" applyBorder="1" applyAlignment="1">
      <alignment horizontal="left" vertical="top" wrapText="1"/>
      <protection/>
    </xf>
    <xf numFmtId="0" fontId="5" fillId="0" borderId="22" xfId="53" applyFont="1" applyFill="1" applyBorder="1" applyAlignment="1">
      <alignment horizontal="left" vertical="top" wrapText="1"/>
      <protection/>
    </xf>
    <xf numFmtId="0" fontId="5" fillId="20" borderId="39" xfId="53" applyFont="1" applyFill="1" applyBorder="1" applyAlignment="1">
      <alignment horizontal="left" vertical="top" wrapText="1"/>
      <protection/>
    </xf>
    <xf numFmtId="0" fontId="5" fillId="20" borderId="22" xfId="53" applyFont="1" applyFill="1" applyBorder="1" applyAlignment="1">
      <alignment horizontal="left" vertical="top" wrapText="1"/>
      <protection/>
    </xf>
    <xf numFmtId="174" fontId="5" fillId="20" borderId="39" xfId="53" applyNumberFormat="1" applyFont="1" applyFill="1" applyBorder="1" applyAlignment="1">
      <alignment horizontal="right"/>
      <protection/>
    </xf>
    <xf numFmtId="174" fontId="5" fillId="20" borderId="22" xfId="53" applyNumberFormat="1" applyFont="1" applyFill="1" applyBorder="1" applyAlignment="1">
      <alignment horizontal="right"/>
      <protection/>
    </xf>
    <xf numFmtId="174" fontId="5" fillId="20" borderId="39" xfId="53" applyNumberFormat="1" applyFont="1" applyFill="1" applyBorder="1" applyAlignment="1">
      <alignment/>
      <protection/>
    </xf>
    <xf numFmtId="174" fontId="5" fillId="20" borderId="22" xfId="53" applyNumberFormat="1" applyFont="1" applyFill="1" applyBorder="1" applyAlignment="1">
      <alignment/>
      <protection/>
    </xf>
    <xf numFmtId="0" fontId="5" fillId="0" borderId="41" xfId="53" applyFont="1" applyFill="1" applyBorder="1" applyAlignment="1">
      <alignment horizontal="center" vertical="center"/>
      <protection/>
    </xf>
    <xf numFmtId="0" fontId="5" fillId="22" borderId="39" xfId="53" applyFont="1" applyFill="1" applyBorder="1" applyAlignment="1">
      <alignment horizontal="left" vertical="top" wrapText="1"/>
      <protection/>
    </xf>
    <xf numFmtId="0" fontId="5" fillId="22" borderId="22" xfId="53" applyFont="1" applyFill="1" applyBorder="1" applyAlignment="1">
      <alignment horizontal="left" vertical="top" wrapText="1"/>
      <protection/>
    </xf>
    <xf numFmtId="174" fontId="30" fillId="22" borderId="39" xfId="53" applyNumberFormat="1" applyFont="1" applyFill="1" applyBorder="1" applyAlignment="1">
      <alignment horizontal="right"/>
      <protection/>
    </xf>
    <xf numFmtId="0" fontId="30" fillId="22" borderId="22" xfId="53" applyFont="1" applyFill="1" applyBorder="1" applyAlignment="1">
      <alignment horizontal="right"/>
      <protection/>
    </xf>
    <xf numFmtId="0" fontId="33" fillId="0" borderId="37" xfId="53" applyFont="1" applyFill="1" applyBorder="1" applyAlignment="1">
      <alignment horizontal="left"/>
      <protection/>
    </xf>
    <xf numFmtId="0" fontId="25" fillId="0" borderId="0" xfId="53" applyFont="1" applyFill="1" applyAlignment="1">
      <alignment horizontal="center" wrapText="1"/>
      <protection/>
    </xf>
    <xf numFmtId="0" fontId="6" fillId="0" borderId="0" xfId="53" applyFont="1" applyFill="1" applyAlignment="1">
      <alignment horizontal="center" wrapText="1"/>
      <protection/>
    </xf>
    <xf numFmtId="0" fontId="33" fillId="0" borderId="37" xfId="53" applyFont="1" applyFill="1" applyBorder="1" applyAlignment="1">
      <alignment horizontal="center"/>
      <protection/>
    </xf>
    <xf numFmtId="0" fontId="0" fillId="0" borderId="41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53" applyFont="1" applyFill="1" applyAlignment="1">
      <alignment horizontal="center" wrapText="1"/>
      <protection/>
    </xf>
    <xf numFmtId="0" fontId="33" fillId="0" borderId="37" xfId="53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72;&#1081;&#1083;&#1099;%20&#1086;&#1073;&#1084;&#1077;&#1085;&#1072;\Users\&#1057;&#1074;&#1077;&#1090;&#1072;\AppData\Local\Microsoft\Windows\Temporary%20Internet%20Files\Content.IE5\O0TSDYCN\&#1084;&#1091;&#1085;&#1080;&#1094;&#1080;&#1087;&#1072;&#1083;&#1100;&#1085;&#1086;&#1077;%20&#1079;&#1072;&#1076;&#1072;&#1085;&#1080;&#1077;%20&#1085;&#1072;%202013&#1075;%20&#1076;&#1083;&#1103;%20&#1076;&#1077;&#1090;&#1089;&#1082;&#1080;&#1093;%20&#1089;&#1072;&#1076;&#1086;&#1074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72;&#1081;&#1083;&#1099;%20&#1086;&#1073;&#1084;&#1077;&#1085;&#1072;\Users\&#1057;&#1074;&#1077;&#1090;&#1072;\AppData\Local\Microsoft\Windows\Temporary%20Internet%20Files\Content.IE5\O0TSDYCN\&#1084;&#1091;&#1085;&#1080;&#1094;&#1080;&#1087;&#1072;&#1083;&#1100;&#1085;&#1086;&#1077;%20&#1079;&#1072;&#1076;&#1072;&#1085;&#1080;&#1077;%20&#1085;&#1072;%202013&#1075;-&#1085;&#1072;%2001.07%20&#1076;&#1083;&#1103;%20&#1076;&#1077;&#1090;&#1089;&#1082;&#1080;&#1093;%20&#1089;&#1072;&#1076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"/>
    </sheetNames>
    <sheetDataSet>
      <sheetData sheetId="0">
        <row r="69">
          <cell r="D69">
            <v>152</v>
          </cell>
          <cell r="E69">
            <v>152</v>
          </cell>
          <cell r="F69">
            <v>152</v>
          </cell>
        </row>
        <row r="70">
          <cell r="D70">
            <v>152</v>
          </cell>
          <cell r="E70">
            <v>152</v>
          </cell>
          <cell r="F70">
            <v>152</v>
          </cell>
        </row>
        <row r="71">
          <cell r="D71">
            <v>152</v>
          </cell>
          <cell r="E71">
            <v>152</v>
          </cell>
          <cell r="F71">
            <v>152</v>
          </cell>
        </row>
        <row r="138">
          <cell r="D138">
            <v>30075</v>
          </cell>
          <cell r="E138">
            <v>0</v>
          </cell>
        </row>
      </sheetData>
      <sheetData sheetId="1">
        <row r="17">
          <cell r="C17">
            <v>338335</v>
          </cell>
          <cell r="D17">
            <v>845838</v>
          </cell>
          <cell r="E17">
            <v>845838</v>
          </cell>
        </row>
        <row r="18">
          <cell r="C18">
            <v>556598</v>
          </cell>
          <cell r="D18">
            <v>629061.18</v>
          </cell>
          <cell r="E18">
            <v>681528.0399999999</v>
          </cell>
        </row>
        <row r="19">
          <cell r="C19">
            <v>104042</v>
          </cell>
          <cell r="D19">
            <v>0</v>
          </cell>
          <cell r="E19">
            <v>0</v>
          </cell>
        </row>
      </sheetData>
      <sheetData sheetId="9">
        <row r="17">
          <cell r="C17">
            <v>525775</v>
          </cell>
          <cell r="D17">
            <v>845838</v>
          </cell>
          <cell r="E17">
            <v>845838</v>
          </cell>
        </row>
        <row r="18">
          <cell r="C18">
            <v>467813.25</v>
          </cell>
          <cell r="D18">
            <v>663554.3</v>
          </cell>
          <cell r="E18">
            <v>548379.6699999999</v>
          </cell>
        </row>
        <row r="19">
          <cell r="C19">
            <v>86118</v>
          </cell>
          <cell r="D19">
            <v>0</v>
          </cell>
          <cell r="E19">
            <v>17924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"/>
      <sheetName val="отчет1433-1"/>
    </sheetNames>
    <sheetDataSet>
      <sheetData sheetId="0">
        <row r="69">
          <cell r="D69">
            <v>152</v>
          </cell>
          <cell r="E69">
            <v>152</v>
          </cell>
        </row>
        <row r="70">
          <cell r="D70">
            <v>152</v>
          </cell>
          <cell r="E70">
            <v>152</v>
          </cell>
        </row>
        <row r="71">
          <cell r="D71">
            <v>152</v>
          </cell>
          <cell r="E71">
            <v>152</v>
          </cell>
        </row>
        <row r="138">
          <cell r="G138">
            <v>64798</v>
          </cell>
        </row>
      </sheetData>
      <sheetData sheetId="1">
        <row r="17">
          <cell r="G17">
            <v>566950</v>
          </cell>
          <cell r="H17">
            <v>726470.31</v>
          </cell>
          <cell r="I17">
            <v>352216.38</v>
          </cell>
        </row>
        <row r="18">
          <cell r="G18">
            <v>1810009.84</v>
          </cell>
          <cell r="H18">
            <v>1446368.79</v>
          </cell>
          <cell r="I18">
            <v>407300.75</v>
          </cell>
        </row>
        <row r="19">
          <cell r="D19">
            <v>0</v>
          </cell>
          <cell r="G19">
            <v>18000</v>
          </cell>
          <cell r="I19">
            <v>86042</v>
          </cell>
        </row>
      </sheetData>
      <sheetData sheetId="9">
        <row r="17">
          <cell r="G17">
            <v>1177275.4</v>
          </cell>
          <cell r="H17">
            <v>970266</v>
          </cell>
          <cell r="I17">
            <v>660274</v>
          </cell>
        </row>
        <row r="18">
          <cell r="G18">
            <v>942816.0399999999</v>
          </cell>
          <cell r="H18">
            <v>725358.86</v>
          </cell>
          <cell r="I18">
            <v>797613.1199999999</v>
          </cell>
        </row>
        <row r="19">
          <cell r="E19">
            <v>0</v>
          </cell>
          <cell r="G19">
            <v>17805</v>
          </cell>
          <cell r="H19">
            <v>86118</v>
          </cell>
        </row>
      </sheetData>
      <sheetData sheetId="11">
        <row r="44">
          <cell r="C44">
            <v>2030.011</v>
          </cell>
        </row>
        <row r="45">
          <cell r="C45">
            <v>1867.18722</v>
          </cell>
        </row>
        <row r="47">
          <cell r="C47">
            <v>104.042</v>
          </cell>
        </row>
        <row r="56">
          <cell r="C56">
            <v>30.075</v>
          </cell>
        </row>
        <row r="60">
          <cell r="C60">
            <v>2217.451</v>
          </cell>
        </row>
        <row r="61">
          <cell r="C61">
            <v>1679.7472199999997</v>
          </cell>
        </row>
        <row r="63">
          <cell r="C63">
            <v>104.042</v>
          </cell>
        </row>
        <row r="72">
          <cell r="C72">
            <v>30.075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3"/>
  <sheetViews>
    <sheetView view="pageBreakPreview" zoomScaleSheetLayoutView="100" workbookViewId="0" topLeftCell="A87">
      <selection activeCell="M94" sqref="M94:O94"/>
    </sheetView>
  </sheetViews>
  <sheetFormatPr defaultColWidth="9.00390625" defaultRowHeight="12.75"/>
  <cols>
    <col min="1" max="1" width="6.375" style="148" customWidth="1"/>
    <col min="2" max="2" width="10.00390625" style="148" customWidth="1"/>
    <col min="3" max="3" width="13.625" style="148" customWidth="1"/>
    <col min="4" max="4" width="6.75390625" style="148" customWidth="1"/>
    <col min="5" max="5" width="6.625" style="148" customWidth="1"/>
    <col min="6" max="6" width="6.375" style="148" customWidth="1"/>
    <col min="7" max="9" width="5.875" style="148" customWidth="1"/>
    <col min="10" max="10" width="6.125" style="148" customWidth="1"/>
    <col min="11" max="11" width="7.25390625" style="148" customWidth="1"/>
    <col min="12" max="12" width="6.75390625" style="148" customWidth="1"/>
    <col min="13" max="14" width="6.375" style="148" customWidth="1"/>
    <col min="15" max="15" width="6.00390625" style="148" customWidth="1"/>
    <col min="16" max="16" width="12.625" style="148" customWidth="1"/>
    <col min="17" max="17" width="11.125" style="148" customWidth="1"/>
    <col min="18" max="18" width="10.25390625" style="148" customWidth="1"/>
    <col min="19" max="19" width="6.00390625" style="148" customWidth="1"/>
    <col min="20" max="16384" width="9.125" style="148" customWidth="1"/>
  </cols>
  <sheetData>
    <row r="1" ht="11.25" customHeight="1">
      <c r="R1" s="149" t="s">
        <v>380</v>
      </c>
    </row>
    <row r="2" ht="11.25" customHeight="1">
      <c r="R2" s="149" t="s">
        <v>381</v>
      </c>
    </row>
    <row r="3" ht="12" customHeight="1">
      <c r="R3" s="149" t="s">
        <v>382</v>
      </c>
    </row>
    <row r="4" ht="12" customHeight="1">
      <c r="R4" s="149" t="s">
        <v>383</v>
      </c>
    </row>
    <row r="5" ht="12" customHeight="1">
      <c r="R5" s="149" t="s">
        <v>384</v>
      </c>
    </row>
    <row r="6" ht="10.5" customHeight="1">
      <c r="R6" s="149" t="s">
        <v>385</v>
      </c>
    </row>
    <row r="7" ht="11.25" customHeight="1">
      <c r="R7" s="149" t="s">
        <v>386</v>
      </c>
    </row>
    <row r="8" ht="11.25" customHeight="1">
      <c r="R8" s="149" t="s">
        <v>387</v>
      </c>
    </row>
    <row r="9" ht="11.25" customHeight="1">
      <c r="R9" s="149" t="s">
        <v>388</v>
      </c>
    </row>
    <row r="10" ht="12" customHeight="1">
      <c r="R10" s="149" t="s">
        <v>389</v>
      </c>
    </row>
    <row r="11" ht="15" hidden="1"/>
    <row r="12" spans="1:18" ht="15" customHeight="1">
      <c r="A12" s="652" t="s">
        <v>390</v>
      </c>
      <c r="B12" s="652"/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</row>
    <row r="13" spans="1:18" ht="15">
      <c r="A13" s="566" t="s">
        <v>391</v>
      </c>
      <c r="B13" s="566"/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</row>
    <row r="14" spans="1:18" ht="15">
      <c r="A14" s="653" t="s">
        <v>459</v>
      </c>
      <c r="B14" s="566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</row>
    <row r="17" spans="2:23" ht="29.25" customHeight="1">
      <c r="B17" s="148" t="s">
        <v>392</v>
      </c>
      <c r="H17" s="654" t="s">
        <v>439</v>
      </c>
      <c r="I17" s="655"/>
      <c r="J17" s="655"/>
      <c r="K17" s="655"/>
      <c r="L17" s="655"/>
      <c r="M17" s="655"/>
      <c r="N17" s="655"/>
      <c r="O17" s="655"/>
      <c r="P17" s="655"/>
      <c r="Q17" s="655"/>
      <c r="S17" s="150"/>
      <c r="T17" s="150"/>
      <c r="U17" s="150"/>
      <c r="V17" s="150"/>
      <c r="W17" s="150"/>
    </row>
    <row r="19" ht="15">
      <c r="B19" s="148" t="s">
        <v>393</v>
      </c>
    </row>
    <row r="21" spans="1:18" ht="100.5" customHeight="1">
      <c r="A21" s="151" t="s">
        <v>394</v>
      </c>
      <c r="B21" s="151" t="s">
        <v>395</v>
      </c>
      <c r="C21" s="151" t="s">
        <v>396</v>
      </c>
      <c r="D21" s="619" t="s">
        <v>261</v>
      </c>
      <c r="E21" s="620"/>
      <c r="F21" s="619" t="s">
        <v>397</v>
      </c>
      <c r="G21" s="620"/>
      <c r="H21" s="619" t="s">
        <v>398</v>
      </c>
      <c r="I21" s="620"/>
      <c r="J21" s="619" t="s">
        <v>399</v>
      </c>
      <c r="K21" s="620"/>
      <c r="L21" s="619" t="s">
        <v>400</v>
      </c>
      <c r="M21" s="620"/>
      <c r="N21" s="619" t="s">
        <v>401</v>
      </c>
      <c r="O21" s="620"/>
      <c r="P21" s="151" t="s">
        <v>402</v>
      </c>
      <c r="Q21" s="619" t="s">
        <v>403</v>
      </c>
      <c r="R21" s="620"/>
    </row>
    <row r="22" spans="1:18" s="152" customFormat="1" ht="222" customHeight="1">
      <c r="A22" s="647">
        <v>1</v>
      </c>
      <c r="B22" s="647" t="s">
        <v>404</v>
      </c>
      <c r="C22" s="647" t="s">
        <v>405</v>
      </c>
      <c r="D22" s="647" t="s">
        <v>406</v>
      </c>
      <c r="E22" s="647"/>
      <c r="F22" s="647" t="s">
        <v>407</v>
      </c>
      <c r="G22" s="647"/>
      <c r="H22" s="647" t="s">
        <v>408</v>
      </c>
      <c r="I22" s="647"/>
      <c r="J22" s="638" t="s">
        <v>405</v>
      </c>
      <c r="K22" s="638"/>
      <c r="L22" s="647" t="s">
        <v>409</v>
      </c>
      <c r="M22" s="647"/>
      <c r="N22" s="647" t="s">
        <v>410</v>
      </c>
      <c r="O22" s="647"/>
      <c r="P22" s="638" t="s">
        <v>411</v>
      </c>
      <c r="Q22" s="641" t="s">
        <v>234</v>
      </c>
      <c r="R22" s="641"/>
    </row>
    <row r="23" spans="1:18" s="152" customFormat="1" ht="60.75" customHeight="1">
      <c r="A23" s="647"/>
      <c r="B23" s="647"/>
      <c r="C23" s="647"/>
      <c r="D23" s="647"/>
      <c r="E23" s="647"/>
      <c r="F23" s="647"/>
      <c r="G23" s="647"/>
      <c r="H23" s="647"/>
      <c r="I23" s="647"/>
      <c r="J23" s="638"/>
      <c r="K23" s="638"/>
      <c r="L23" s="647"/>
      <c r="M23" s="647"/>
      <c r="N23" s="647"/>
      <c r="O23" s="647"/>
      <c r="P23" s="638"/>
      <c r="Q23" s="641"/>
      <c r="R23" s="641"/>
    </row>
    <row r="24" spans="1:18" s="152" customFormat="1" ht="60.75" customHeight="1">
      <c r="A24" s="647"/>
      <c r="B24" s="647"/>
      <c r="C24" s="647"/>
      <c r="D24" s="647"/>
      <c r="E24" s="647"/>
      <c r="F24" s="647"/>
      <c r="G24" s="647"/>
      <c r="H24" s="647"/>
      <c r="I24" s="647"/>
      <c r="J24" s="638"/>
      <c r="K24" s="638"/>
      <c r="L24" s="647"/>
      <c r="M24" s="647"/>
      <c r="N24" s="647"/>
      <c r="O24" s="647"/>
      <c r="P24" s="638"/>
      <c r="Q24" s="641"/>
      <c r="R24" s="641"/>
    </row>
    <row r="25" spans="1:18" s="152" customFormat="1" ht="60.75" customHeight="1">
      <c r="A25" s="647"/>
      <c r="B25" s="647"/>
      <c r="C25" s="647"/>
      <c r="D25" s="647"/>
      <c r="E25" s="647"/>
      <c r="F25" s="647"/>
      <c r="G25" s="647"/>
      <c r="H25" s="647"/>
      <c r="I25" s="647"/>
      <c r="J25" s="638"/>
      <c r="K25" s="638"/>
      <c r="L25" s="647"/>
      <c r="M25" s="647"/>
      <c r="N25" s="647"/>
      <c r="O25" s="647"/>
      <c r="P25" s="638"/>
      <c r="Q25" s="641"/>
      <c r="R25" s="641"/>
    </row>
    <row r="26" spans="1:18" s="152" customFormat="1" ht="60.75" customHeight="1">
      <c r="A26" s="647"/>
      <c r="B26" s="647"/>
      <c r="C26" s="647"/>
      <c r="D26" s="647"/>
      <c r="E26" s="647"/>
      <c r="F26" s="647"/>
      <c r="G26" s="647"/>
      <c r="H26" s="647"/>
      <c r="I26" s="647"/>
      <c r="J26" s="638"/>
      <c r="K26" s="638"/>
      <c r="L26" s="647"/>
      <c r="M26" s="647"/>
      <c r="N26" s="647"/>
      <c r="O26" s="647"/>
      <c r="P26" s="638"/>
      <c r="Q26" s="641"/>
      <c r="R26" s="641"/>
    </row>
    <row r="27" spans="1:18" s="152" customFormat="1" ht="60.75" customHeight="1">
      <c r="A27" s="647"/>
      <c r="B27" s="647"/>
      <c r="C27" s="647"/>
      <c r="D27" s="647"/>
      <c r="E27" s="647"/>
      <c r="F27" s="647"/>
      <c r="G27" s="647"/>
      <c r="H27" s="647"/>
      <c r="I27" s="647"/>
      <c r="J27" s="638"/>
      <c r="K27" s="638"/>
      <c r="L27" s="647"/>
      <c r="M27" s="647"/>
      <c r="N27" s="647"/>
      <c r="O27" s="647"/>
      <c r="P27" s="638"/>
      <c r="Q27" s="641"/>
      <c r="R27" s="641"/>
    </row>
    <row r="28" spans="1:18" s="152" customFormat="1" ht="60.75" customHeight="1">
      <c r="A28" s="647"/>
      <c r="B28" s="647"/>
      <c r="C28" s="647"/>
      <c r="D28" s="647"/>
      <c r="E28" s="647"/>
      <c r="F28" s="647"/>
      <c r="G28" s="647"/>
      <c r="H28" s="647"/>
      <c r="I28" s="647"/>
      <c r="J28" s="638"/>
      <c r="K28" s="638"/>
      <c r="L28" s="647"/>
      <c r="M28" s="647"/>
      <c r="N28" s="647"/>
      <c r="O28" s="647"/>
      <c r="P28" s="638"/>
      <c r="Q28" s="641"/>
      <c r="R28" s="641"/>
    </row>
    <row r="29" spans="1:18" s="152" customFormat="1" ht="60.75" customHeight="1">
      <c r="A29" s="647"/>
      <c r="B29" s="647"/>
      <c r="C29" s="647"/>
      <c r="D29" s="647"/>
      <c r="E29" s="647"/>
      <c r="F29" s="647"/>
      <c r="G29" s="647"/>
      <c r="H29" s="647"/>
      <c r="I29" s="647"/>
      <c r="J29" s="638"/>
      <c r="K29" s="638"/>
      <c r="L29" s="647"/>
      <c r="M29" s="647"/>
      <c r="N29" s="647"/>
      <c r="O29" s="647"/>
      <c r="P29" s="638"/>
      <c r="Q29" s="641"/>
      <c r="R29" s="641"/>
    </row>
    <row r="30" spans="1:18" s="152" customFormat="1" ht="35.25" customHeight="1">
      <c r="A30" s="647"/>
      <c r="B30" s="647"/>
      <c r="C30" s="647"/>
      <c r="D30" s="647"/>
      <c r="E30" s="647"/>
      <c r="F30" s="647"/>
      <c r="G30" s="647"/>
      <c r="H30" s="647"/>
      <c r="I30" s="647"/>
      <c r="J30" s="638"/>
      <c r="K30" s="638"/>
      <c r="L30" s="647"/>
      <c r="M30" s="647"/>
      <c r="N30" s="647"/>
      <c r="O30" s="647"/>
      <c r="P30" s="638"/>
      <c r="Q30" s="641"/>
      <c r="R30" s="641"/>
    </row>
    <row r="31" spans="1:18" s="152" customFormat="1" ht="60.75" customHeight="1">
      <c r="A31" s="647"/>
      <c r="B31" s="647"/>
      <c r="C31" s="647"/>
      <c r="D31" s="647"/>
      <c r="E31" s="647"/>
      <c r="F31" s="647"/>
      <c r="G31" s="647"/>
      <c r="H31" s="647"/>
      <c r="I31" s="647"/>
      <c r="J31" s="638"/>
      <c r="K31" s="638"/>
      <c r="L31" s="647"/>
      <c r="M31" s="647"/>
      <c r="N31" s="647"/>
      <c r="O31" s="647"/>
      <c r="P31" s="638"/>
      <c r="Q31" s="641"/>
      <c r="R31" s="641"/>
    </row>
    <row r="32" spans="1:18" s="152" customFormat="1" ht="83.25" customHeight="1">
      <c r="A32" s="647"/>
      <c r="B32" s="647"/>
      <c r="C32" s="647"/>
      <c r="D32" s="647"/>
      <c r="E32" s="647"/>
      <c r="F32" s="647"/>
      <c r="G32" s="647"/>
      <c r="H32" s="647"/>
      <c r="I32" s="647"/>
      <c r="J32" s="638"/>
      <c r="K32" s="638"/>
      <c r="L32" s="647"/>
      <c r="M32" s="647"/>
      <c r="N32" s="647"/>
      <c r="O32" s="647"/>
      <c r="P32" s="638"/>
      <c r="Q32" s="641"/>
      <c r="R32" s="641"/>
    </row>
    <row r="33" spans="1:18" s="152" customFormat="1" ht="90.75" customHeight="1">
      <c r="A33" s="647"/>
      <c r="B33" s="647"/>
      <c r="C33" s="647"/>
      <c r="D33" s="647"/>
      <c r="E33" s="647"/>
      <c r="F33" s="647"/>
      <c r="G33" s="647"/>
      <c r="H33" s="647"/>
      <c r="I33" s="647"/>
      <c r="J33" s="638"/>
      <c r="K33" s="638"/>
      <c r="L33" s="647"/>
      <c r="M33" s="647"/>
      <c r="N33" s="647"/>
      <c r="O33" s="647"/>
      <c r="P33" s="638"/>
      <c r="Q33" s="641"/>
      <c r="R33" s="641"/>
    </row>
    <row r="34" spans="1:18" ht="115.5" customHeight="1">
      <c r="A34" s="647"/>
      <c r="B34" s="647"/>
      <c r="C34" s="647"/>
      <c r="D34" s="647"/>
      <c r="E34" s="647"/>
      <c r="F34" s="647"/>
      <c r="G34" s="647"/>
      <c r="H34" s="647"/>
      <c r="I34" s="647"/>
      <c r="J34" s="638"/>
      <c r="K34" s="638"/>
      <c r="L34" s="647"/>
      <c r="M34" s="647"/>
      <c r="N34" s="647"/>
      <c r="O34" s="647"/>
      <c r="P34" s="638"/>
      <c r="Q34" s="641"/>
      <c r="R34" s="641"/>
    </row>
    <row r="35" spans="1:18" ht="3" customHeight="1">
      <c r="A35" s="377"/>
      <c r="B35" s="377"/>
      <c r="C35" s="377"/>
      <c r="D35" s="377"/>
      <c r="E35" s="377"/>
      <c r="F35" s="377"/>
      <c r="G35" s="377"/>
      <c r="H35" s="377"/>
      <c r="I35" s="377"/>
      <c r="J35" s="371"/>
      <c r="K35" s="371"/>
      <c r="L35" s="377"/>
      <c r="M35" s="377"/>
      <c r="N35" s="377"/>
      <c r="O35" s="377"/>
      <c r="P35" s="371"/>
      <c r="Q35" s="372"/>
      <c r="R35" s="372"/>
    </row>
    <row r="37" ht="15">
      <c r="B37" s="148" t="s">
        <v>0</v>
      </c>
    </row>
    <row r="39" spans="1:18" ht="15" customHeight="1">
      <c r="A39" s="619" t="s">
        <v>395</v>
      </c>
      <c r="B39" s="620"/>
      <c r="C39" s="648" t="s">
        <v>1</v>
      </c>
      <c r="D39" s="606" t="s">
        <v>2</v>
      </c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606"/>
      <c r="R39" s="606"/>
    </row>
    <row r="40" spans="1:18" ht="28.5" customHeight="1">
      <c r="A40" s="649"/>
      <c r="B40" s="650"/>
      <c r="C40" s="651"/>
      <c r="D40" s="606" t="s">
        <v>3</v>
      </c>
      <c r="E40" s="606"/>
      <c r="F40" s="606"/>
      <c r="G40" s="606"/>
      <c r="H40" s="606"/>
      <c r="I40" s="606"/>
      <c r="J40" s="583" t="s">
        <v>4</v>
      </c>
      <c r="K40" s="584"/>
      <c r="L40" s="584"/>
      <c r="M40" s="584"/>
      <c r="N40" s="584"/>
      <c r="O40" s="585"/>
      <c r="P40" s="606" t="s">
        <v>5</v>
      </c>
      <c r="Q40" s="606"/>
      <c r="R40" s="606"/>
    </row>
    <row r="41" spans="1:19" ht="83.25" customHeight="1">
      <c r="A41" s="649"/>
      <c r="B41" s="650"/>
      <c r="C41" s="651"/>
      <c r="D41" s="648" t="s">
        <v>6</v>
      </c>
      <c r="E41" s="648"/>
      <c r="F41" s="648" t="s">
        <v>7</v>
      </c>
      <c r="G41" s="648"/>
      <c r="H41" s="648" t="s">
        <v>8</v>
      </c>
      <c r="I41" s="648"/>
      <c r="J41" s="648" t="s">
        <v>6</v>
      </c>
      <c r="K41" s="648"/>
      <c r="L41" s="648" t="s">
        <v>7</v>
      </c>
      <c r="M41" s="648"/>
      <c r="N41" s="619" t="s">
        <v>8</v>
      </c>
      <c r="O41" s="620"/>
      <c r="P41" s="153" t="s">
        <v>6</v>
      </c>
      <c r="Q41" s="153" t="s">
        <v>7</v>
      </c>
      <c r="R41" s="153" t="s">
        <v>8</v>
      </c>
      <c r="S41" s="154"/>
    </row>
    <row r="42" spans="1:18" s="158" customFormat="1" ht="199.5" customHeight="1">
      <c r="A42" s="638" t="s">
        <v>404</v>
      </c>
      <c r="B42" s="638"/>
      <c r="C42" s="641" t="s">
        <v>9</v>
      </c>
      <c r="D42" s="643" t="s">
        <v>10</v>
      </c>
      <c r="E42" s="644"/>
      <c r="F42" s="643" t="s">
        <v>11</v>
      </c>
      <c r="G42" s="644"/>
      <c r="H42" s="645"/>
      <c r="I42" s="646"/>
      <c r="J42" s="642"/>
      <c r="K42" s="642"/>
      <c r="L42" s="645"/>
      <c r="M42" s="646"/>
      <c r="N42" s="642"/>
      <c r="O42" s="642"/>
      <c r="P42" s="155" t="s">
        <v>12</v>
      </c>
      <c r="Q42" s="156" t="s">
        <v>13</v>
      </c>
      <c r="R42" s="157"/>
    </row>
    <row r="43" spans="1:18" s="158" customFormat="1" ht="10.5">
      <c r="A43" s="638"/>
      <c r="B43" s="638"/>
      <c r="C43" s="641"/>
      <c r="D43" s="639"/>
      <c r="E43" s="640"/>
      <c r="F43" s="639"/>
      <c r="G43" s="640"/>
      <c r="H43" s="159"/>
      <c r="I43" s="160"/>
      <c r="J43" s="161"/>
      <c r="K43" s="161"/>
      <c r="L43" s="159"/>
      <c r="M43" s="160"/>
      <c r="N43" s="161"/>
      <c r="O43" s="161"/>
      <c r="P43" s="162"/>
      <c r="Q43" s="163"/>
      <c r="R43" s="164"/>
    </row>
    <row r="44" spans="1:18" s="158" customFormat="1" ht="10.5">
      <c r="A44" s="638"/>
      <c r="B44" s="638"/>
      <c r="C44" s="641"/>
      <c r="D44" s="639"/>
      <c r="E44" s="640"/>
      <c r="F44" s="639"/>
      <c r="G44" s="640"/>
      <c r="H44" s="159"/>
      <c r="I44" s="160"/>
      <c r="J44" s="161"/>
      <c r="K44" s="161"/>
      <c r="L44" s="159"/>
      <c r="M44" s="160"/>
      <c r="N44" s="161"/>
      <c r="O44" s="161"/>
      <c r="P44" s="162"/>
      <c r="Q44" s="163"/>
      <c r="R44" s="164"/>
    </row>
    <row r="45" spans="1:18" s="158" customFormat="1" ht="10.5">
      <c r="A45" s="638"/>
      <c r="B45" s="638"/>
      <c r="C45" s="641"/>
      <c r="D45" s="639"/>
      <c r="E45" s="640"/>
      <c r="F45" s="639"/>
      <c r="G45" s="640"/>
      <c r="H45" s="159"/>
      <c r="I45" s="160"/>
      <c r="J45" s="161"/>
      <c r="K45" s="161"/>
      <c r="L45" s="159"/>
      <c r="M45" s="160"/>
      <c r="N45" s="161"/>
      <c r="O45" s="161"/>
      <c r="P45" s="162"/>
      <c r="Q45" s="163"/>
      <c r="R45" s="164"/>
    </row>
    <row r="46" spans="1:18" s="158" customFormat="1" ht="10.5">
      <c r="A46" s="638"/>
      <c r="B46" s="638"/>
      <c r="C46" s="641"/>
      <c r="D46" s="639"/>
      <c r="E46" s="640"/>
      <c r="F46" s="639"/>
      <c r="G46" s="640"/>
      <c r="H46" s="159"/>
      <c r="I46" s="160"/>
      <c r="J46" s="161"/>
      <c r="K46" s="161"/>
      <c r="L46" s="159"/>
      <c r="M46" s="160"/>
      <c r="N46" s="161"/>
      <c r="O46" s="161"/>
      <c r="P46" s="162"/>
      <c r="Q46" s="163"/>
      <c r="R46" s="164"/>
    </row>
    <row r="47" spans="1:18" s="158" customFormat="1" ht="10.5">
      <c r="A47" s="638"/>
      <c r="B47" s="638"/>
      <c r="C47" s="641"/>
      <c r="D47" s="639"/>
      <c r="E47" s="640"/>
      <c r="F47" s="639"/>
      <c r="G47" s="640"/>
      <c r="H47" s="159"/>
      <c r="I47" s="160"/>
      <c r="J47" s="161"/>
      <c r="K47" s="161"/>
      <c r="L47" s="159"/>
      <c r="M47" s="160"/>
      <c r="N47" s="161"/>
      <c r="O47" s="161"/>
      <c r="P47" s="162"/>
      <c r="Q47" s="163"/>
      <c r="R47" s="164"/>
    </row>
    <row r="48" spans="1:18" s="158" customFormat="1" ht="10.5">
      <c r="A48" s="638"/>
      <c r="B48" s="638"/>
      <c r="C48" s="641"/>
      <c r="D48" s="639"/>
      <c r="E48" s="640"/>
      <c r="F48" s="639"/>
      <c r="G48" s="640"/>
      <c r="H48" s="159"/>
      <c r="I48" s="160"/>
      <c r="J48" s="161"/>
      <c r="K48" s="161"/>
      <c r="L48" s="159"/>
      <c r="M48" s="160"/>
      <c r="N48" s="161"/>
      <c r="O48" s="161"/>
      <c r="P48" s="162"/>
      <c r="Q48" s="163"/>
      <c r="R48" s="164"/>
    </row>
    <row r="49" spans="1:18" s="158" customFormat="1" ht="10.5">
      <c r="A49" s="638"/>
      <c r="B49" s="638"/>
      <c r="C49" s="641"/>
      <c r="D49" s="639"/>
      <c r="E49" s="640"/>
      <c r="F49" s="639"/>
      <c r="G49" s="640"/>
      <c r="H49" s="159"/>
      <c r="I49" s="160"/>
      <c r="J49" s="161"/>
      <c r="K49" s="161"/>
      <c r="L49" s="159"/>
      <c r="M49" s="160"/>
      <c r="N49" s="161"/>
      <c r="O49" s="161"/>
      <c r="P49" s="162"/>
      <c r="Q49" s="163"/>
      <c r="R49" s="164"/>
    </row>
    <row r="50" spans="1:18" s="158" customFormat="1" ht="10.5">
      <c r="A50" s="638"/>
      <c r="B50" s="638"/>
      <c r="C50" s="641"/>
      <c r="D50" s="639"/>
      <c r="E50" s="640"/>
      <c r="F50" s="639"/>
      <c r="G50" s="640"/>
      <c r="H50" s="159"/>
      <c r="I50" s="160"/>
      <c r="J50" s="161"/>
      <c r="K50" s="161"/>
      <c r="L50" s="159"/>
      <c r="M50" s="160"/>
      <c r="N50" s="161"/>
      <c r="O50" s="161"/>
      <c r="P50" s="162"/>
      <c r="Q50" s="163"/>
      <c r="R50" s="164"/>
    </row>
    <row r="51" spans="1:18" s="158" customFormat="1" ht="10.5">
      <c r="A51" s="638"/>
      <c r="B51" s="638"/>
      <c r="C51" s="641"/>
      <c r="D51" s="639"/>
      <c r="E51" s="640"/>
      <c r="F51" s="639"/>
      <c r="G51" s="640"/>
      <c r="H51" s="159"/>
      <c r="I51" s="160"/>
      <c r="J51" s="161"/>
      <c r="K51" s="161"/>
      <c r="L51" s="159"/>
      <c r="M51" s="160"/>
      <c r="N51" s="161"/>
      <c r="O51" s="161"/>
      <c r="P51" s="162"/>
      <c r="Q51" s="163"/>
      <c r="R51" s="164"/>
    </row>
    <row r="52" spans="1:18" s="158" customFormat="1" ht="10.5">
      <c r="A52" s="638"/>
      <c r="B52" s="638"/>
      <c r="C52" s="641"/>
      <c r="D52" s="639"/>
      <c r="E52" s="640"/>
      <c r="F52" s="639"/>
      <c r="G52" s="640"/>
      <c r="H52" s="159"/>
      <c r="I52" s="160"/>
      <c r="J52" s="161"/>
      <c r="K52" s="161"/>
      <c r="L52" s="159"/>
      <c r="M52" s="160"/>
      <c r="N52" s="161"/>
      <c r="O52" s="161"/>
      <c r="P52" s="162"/>
      <c r="Q52" s="163"/>
      <c r="R52" s="164"/>
    </row>
    <row r="53" spans="1:18" s="158" customFormat="1" ht="10.5">
      <c r="A53" s="638"/>
      <c r="B53" s="638"/>
      <c r="C53" s="641"/>
      <c r="D53" s="639"/>
      <c r="E53" s="640"/>
      <c r="F53" s="639"/>
      <c r="G53" s="640"/>
      <c r="H53" s="159"/>
      <c r="I53" s="160"/>
      <c r="J53" s="161"/>
      <c r="K53" s="161"/>
      <c r="L53" s="159"/>
      <c r="M53" s="160"/>
      <c r="N53" s="161"/>
      <c r="O53" s="161"/>
      <c r="P53" s="162"/>
      <c r="Q53" s="163"/>
      <c r="R53" s="164"/>
    </row>
    <row r="54" spans="1:18" s="158" customFormat="1" ht="10.5">
      <c r="A54" s="638"/>
      <c r="B54" s="638"/>
      <c r="C54" s="641"/>
      <c r="D54" s="639"/>
      <c r="E54" s="640"/>
      <c r="F54" s="639"/>
      <c r="G54" s="640"/>
      <c r="H54" s="159"/>
      <c r="I54" s="160"/>
      <c r="J54" s="161"/>
      <c r="K54" s="161"/>
      <c r="L54" s="159"/>
      <c r="M54" s="160"/>
      <c r="N54" s="161"/>
      <c r="O54" s="161"/>
      <c r="P54" s="162"/>
      <c r="Q54" s="163"/>
      <c r="R54" s="164"/>
    </row>
    <row r="55" spans="1:18" s="158" customFormat="1" ht="10.5">
      <c r="A55" s="638"/>
      <c r="B55" s="638"/>
      <c r="C55" s="641"/>
      <c r="D55" s="639"/>
      <c r="E55" s="640"/>
      <c r="F55" s="639"/>
      <c r="G55" s="640"/>
      <c r="H55" s="159"/>
      <c r="I55" s="160"/>
      <c r="J55" s="161"/>
      <c r="K55" s="161"/>
      <c r="L55" s="159"/>
      <c r="M55" s="160"/>
      <c r="N55" s="161"/>
      <c r="O55" s="161"/>
      <c r="P55" s="162"/>
      <c r="Q55" s="163"/>
      <c r="R55" s="164"/>
    </row>
    <row r="56" spans="1:18" s="158" customFormat="1" ht="10.5">
      <c r="A56" s="638"/>
      <c r="B56" s="638"/>
      <c r="C56" s="641"/>
      <c r="D56" s="639"/>
      <c r="E56" s="640"/>
      <c r="F56" s="639"/>
      <c r="G56" s="640"/>
      <c r="H56" s="159"/>
      <c r="I56" s="160"/>
      <c r="J56" s="161"/>
      <c r="K56" s="161"/>
      <c r="L56" s="159"/>
      <c r="M56" s="160"/>
      <c r="N56" s="161"/>
      <c r="O56" s="161"/>
      <c r="P56" s="162"/>
      <c r="Q56" s="163"/>
      <c r="R56" s="164"/>
    </row>
    <row r="57" spans="1:18" s="158" customFormat="1" ht="34.5" customHeight="1">
      <c r="A57" s="638"/>
      <c r="B57" s="638"/>
      <c r="C57" s="641"/>
      <c r="D57" s="639"/>
      <c r="E57" s="640"/>
      <c r="F57" s="639"/>
      <c r="G57" s="640"/>
      <c r="H57" s="159"/>
      <c r="I57" s="161"/>
      <c r="J57" s="159"/>
      <c r="K57" s="160"/>
      <c r="L57" s="161"/>
      <c r="M57" s="160"/>
      <c r="N57" s="161"/>
      <c r="O57" s="160"/>
      <c r="P57" s="165"/>
      <c r="Q57" s="163"/>
      <c r="R57" s="164"/>
    </row>
    <row r="58" spans="1:18" s="158" customFormat="1" ht="34.5" customHeight="1">
      <c r="A58" s="638"/>
      <c r="B58" s="638"/>
      <c r="C58" s="641"/>
      <c r="D58" s="639"/>
      <c r="E58" s="640"/>
      <c r="F58" s="639"/>
      <c r="G58" s="640"/>
      <c r="H58" s="159"/>
      <c r="I58" s="161"/>
      <c r="J58" s="159"/>
      <c r="K58" s="160"/>
      <c r="L58" s="161"/>
      <c r="M58" s="161"/>
      <c r="N58" s="159"/>
      <c r="O58" s="160"/>
      <c r="P58" s="163"/>
      <c r="Q58" s="162"/>
      <c r="R58" s="166"/>
    </row>
    <row r="59" spans="1:18" s="158" customFormat="1" ht="34.5" customHeight="1">
      <c r="A59" s="638"/>
      <c r="B59" s="638"/>
      <c r="C59" s="641"/>
      <c r="D59" s="639"/>
      <c r="E59" s="640"/>
      <c r="F59" s="639"/>
      <c r="G59" s="640"/>
      <c r="H59" s="159"/>
      <c r="I59" s="161"/>
      <c r="J59" s="159"/>
      <c r="K59" s="160"/>
      <c r="L59" s="161"/>
      <c r="M59" s="161"/>
      <c r="N59" s="159"/>
      <c r="O59" s="160"/>
      <c r="P59" s="163"/>
      <c r="Q59" s="162"/>
      <c r="R59" s="166"/>
    </row>
    <row r="60" spans="1:18" s="158" customFormat="1" ht="46.5" customHeight="1">
      <c r="A60" s="638"/>
      <c r="B60" s="638"/>
      <c r="C60" s="641"/>
      <c r="D60" s="639"/>
      <c r="E60" s="640"/>
      <c r="F60" s="639"/>
      <c r="G60" s="640"/>
      <c r="H60" s="159"/>
      <c r="I60" s="161"/>
      <c r="J60" s="159"/>
      <c r="K60" s="160"/>
      <c r="L60" s="161"/>
      <c r="M60" s="161"/>
      <c r="N60" s="159"/>
      <c r="O60" s="160"/>
      <c r="P60" s="163"/>
      <c r="Q60" s="162"/>
      <c r="R60" s="166"/>
    </row>
    <row r="61" spans="1:18" s="158" customFormat="1" ht="46.5" customHeight="1">
      <c r="A61" s="638"/>
      <c r="B61" s="638"/>
      <c r="C61" s="641"/>
      <c r="D61" s="639"/>
      <c r="E61" s="640"/>
      <c r="F61" s="639"/>
      <c r="G61" s="640"/>
      <c r="H61" s="159"/>
      <c r="I61" s="161"/>
      <c r="J61" s="159"/>
      <c r="K61" s="160"/>
      <c r="L61" s="161"/>
      <c r="M61" s="161"/>
      <c r="N61" s="159"/>
      <c r="O61" s="160"/>
      <c r="P61" s="163"/>
      <c r="Q61" s="162"/>
      <c r="R61" s="166"/>
    </row>
    <row r="62" spans="1:18" s="158" customFormat="1" ht="38.25" customHeight="1">
      <c r="A62" s="638"/>
      <c r="B62" s="638"/>
      <c r="C62" s="641"/>
      <c r="D62" s="639"/>
      <c r="E62" s="640"/>
      <c r="F62" s="639"/>
      <c r="G62" s="640"/>
      <c r="H62" s="159"/>
      <c r="I62" s="161"/>
      <c r="J62" s="159"/>
      <c r="K62" s="160"/>
      <c r="L62" s="161"/>
      <c r="M62" s="161"/>
      <c r="N62" s="159"/>
      <c r="O62" s="160"/>
      <c r="P62" s="163"/>
      <c r="Q62" s="162"/>
      <c r="R62" s="166"/>
    </row>
    <row r="63" spans="1:18" s="158" customFormat="1" ht="2.25" customHeight="1">
      <c r="A63" s="638"/>
      <c r="B63" s="638"/>
      <c r="C63" s="641"/>
      <c r="D63" s="167"/>
      <c r="E63" s="168"/>
      <c r="F63" s="169"/>
      <c r="G63" s="170"/>
      <c r="H63" s="171"/>
      <c r="I63" s="172"/>
      <c r="J63" s="171"/>
      <c r="K63" s="173"/>
      <c r="L63" s="172"/>
      <c r="M63" s="172"/>
      <c r="N63" s="172"/>
      <c r="O63" s="173"/>
      <c r="P63" s="174"/>
      <c r="Q63" s="174"/>
      <c r="R63" s="175"/>
    </row>
    <row r="64" spans="1:18" s="158" customFormat="1" ht="2.25" customHeight="1">
      <c r="A64" s="371"/>
      <c r="B64" s="371"/>
      <c r="C64" s="372"/>
      <c r="D64" s="163"/>
      <c r="E64" s="163"/>
      <c r="F64" s="371"/>
      <c r="G64" s="371"/>
      <c r="H64" s="161"/>
      <c r="I64" s="161"/>
      <c r="J64" s="161"/>
      <c r="K64" s="161"/>
      <c r="L64" s="161"/>
      <c r="M64" s="161"/>
      <c r="N64" s="161"/>
      <c r="O64" s="161"/>
      <c r="P64" s="163"/>
      <c r="Q64" s="163"/>
      <c r="R64" s="373"/>
    </row>
    <row r="65" spans="1:18" s="158" customFormat="1" ht="2.25" customHeight="1">
      <c r="A65" s="371"/>
      <c r="B65" s="371"/>
      <c r="C65" s="372"/>
      <c r="D65" s="163"/>
      <c r="E65" s="163"/>
      <c r="F65" s="371"/>
      <c r="G65" s="371"/>
      <c r="H65" s="161"/>
      <c r="I65" s="161"/>
      <c r="J65" s="161"/>
      <c r="K65" s="161"/>
      <c r="L65" s="161"/>
      <c r="M65" s="161"/>
      <c r="N65" s="161"/>
      <c r="O65" s="161"/>
      <c r="P65" s="163"/>
      <c r="Q65" s="163"/>
      <c r="R65" s="373"/>
    </row>
    <row r="66" spans="1:18" s="158" customFormat="1" ht="2.25" customHeight="1">
      <c r="A66" s="371"/>
      <c r="B66" s="371"/>
      <c r="C66" s="372"/>
      <c r="D66" s="163"/>
      <c r="E66" s="163"/>
      <c r="F66" s="371"/>
      <c r="G66" s="371"/>
      <c r="H66" s="161"/>
      <c r="I66" s="161"/>
      <c r="J66" s="161"/>
      <c r="K66" s="161"/>
      <c r="L66" s="161"/>
      <c r="M66" s="161"/>
      <c r="N66" s="161"/>
      <c r="O66" s="161"/>
      <c r="P66" s="163"/>
      <c r="Q66" s="163"/>
      <c r="R66" s="373"/>
    </row>
    <row r="67" spans="1:18" s="158" customFormat="1" ht="1.5" customHeight="1">
      <c r="A67" s="371"/>
      <c r="B67" s="371"/>
      <c r="C67" s="372"/>
      <c r="D67" s="163"/>
      <c r="E67" s="163"/>
      <c r="F67" s="371"/>
      <c r="G67" s="371"/>
      <c r="H67" s="161"/>
      <c r="I67" s="161"/>
      <c r="J67" s="161"/>
      <c r="K67" s="161"/>
      <c r="L67" s="161"/>
      <c r="M67" s="161"/>
      <c r="N67" s="161"/>
      <c r="O67" s="161"/>
      <c r="P67" s="163"/>
      <c r="Q67" s="163"/>
      <c r="R67" s="373"/>
    </row>
    <row r="68" spans="9:11" ht="15" hidden="1">
      <c r="I68" s="150"/>
      <c r="J68" s="150"/>
      <c r="K68" s="150"/>
    </row>
    <row r="69" ht="15">
      <c r="B69" s="148" t="s">
        <v>14</v>
      </c>
    </row>
    <row r="70" ht="3.75" customHeight="1"/>
    <row r="71" spans="1:17" ht="28.5" customHeight="1">
      <c r="A71" s="606" t="s">
        <v>15</v>
      </c>
      <c r="B71" s="606"/>
      <c r="C71" s="606"/>
      <c r="D71" s="583" t="s">
        <v>16</v>
      </c>
      <c r="E71" s="584"/>
      <c r="F71" s="584"/>
      <c r="G71" s="584"/>
      <c r="H71" s="584"/>
      <c r="I71" s="584"/>
      <c r="J71" s="584"/>
      <c r="K71" s="584"/>
      <c r="L71" s="584"/>
      <c r="M71" s="584"/>
      <c r="N71" s="584"/>
      <c r="O71" s="585"/>
      <c r="P71" s="619" t="s">
        <v>17</v>
      </c>
      <c r="Q71" s="620"/>
    </row>
    <row r="72" spans="1:17" ht="15">
      <c r="A72" s="606"/>
      <c r="B72" s="606"/>
      <c r="C72" s="606"/>
      <c r="D72" s="176">
        <v>1</v>
      </c>
      <c r="E72" s="176">
        <v>2</v>
      </c>
      <c r="F72" s="176">
        <v>3</v>
      </c>
      <c r="G72" s="176">
        <v>4</v>
      </c>
      <c r="H72" s="176">
        <v>5</v>
      </c>
      <c r="I72" s="176">
        <v>6</v>
      </c>
      <c r="J72" s="176">
        <v>7</v>
      </c>
      <c r="K72" s="176">
        <v>8</v>
      </c>
      <c r="L72" s="176">
        <v>9</v>
      </c>
      <c r="M72" s="176">
        <v>10</v>
      </c>
      <c r="N72" s="176">
        <v>11</v>
      </c>
      <c r="O72" s="176">
        <v>12</v>
      </c>
      <c r="P72" s="621"/>
      <c r="Q72" s="622"/>
    </row>
    <row r="73" spans="1:17" ht="118.5" customHeight="1">
      <c r="A73" s="604" t="s">
        <v>18</v>
      </c>
      <c r="B73" s="604"/>
      <c r="C73" s="605"/>
      <c r="D73" s="177">
        <f>D74</f>
        <v>342</v>
      </c>
      <c r="E73" s="177">
        <f aca="true" t="shared" si="0" ref="E73:O73">E74</f>
        <v>342</v>
      </c>
      <c r="F73" s="177">
        <f t="shared" si="0"/>
        <v>342</v>
      </c>
      <c r="G73" s="177">
        <f t="shared" si="0"/>
        <v>342</v>
      </c>
      <c r="H73" s="177">
        <f t="shared" si="0"/>
        <v>342</v>
      </c>
      <c r="I73" s="177">
        <f t="shared" si="0"/>
        <v>342</v>
      </c>
      <c r="J73" s="177">
        <f t="shared" si="0"/>
        <v>342</v>
      </c>
      <c r="K73" s="177">
        <f t="shared" si="0"/>
        <v>342</v>
      </c>
      <c r="L73" s="177">
        <v>342</v>
      </c>
      <c r="M73" s="177">
        <f t="shared" si="0"/>
        <v>342</v>
      </c>
      <c r="N73" s="177">
        <f t="shared" si="0"/>
        <v>342</v>
      </c>
      <c r="O73" s="177">
        <f t="shared" si="0"/>
        <v>342</v>
      </c>
      <c r="P73" s="623">
        <f>ROUND((D73+E73+F73+G73+H73+I73+J73+K73+L73+M73+N73+O73)/12,0)</f>
        <v>342</v>
      </c>
      <c r="Q73" s="624"/>
    </row>
    <row r="74" spans="1:17" ht="50.25" customHeight="1">
      <c r="A74" s="631" t="s">
        <v>19</v>
      </c>
      <c r="B74" s="604"/>
      <c r="C74" s="605"/>
      <c r="D74" s="178">
        <v>342</v>
      </c>
      <c r="E74" s="179">
        <f aca="true" t="shared" si="1" ref="E74:O76">D74</f>
        <v>342</v>
      </c>
      <c r="F74" s="179">
        <f t="shared" si="1"/>
        <v>342</v>
      </c>
      <c r="G74" s="179">
        <f t="shared" si="1"/>
        <v>342</v>
      </c>
      <c r="H74" s="179">
        <f t="shared" si="1"/>
        <v>342</v>
      </c>
      <c r="I74" s="179">
        <f t="shared" si="1"/>
        <v>342</v>
      </c>
      <c r="J74" s="179">
        <f t="shared" si="1"/>
        <v>342</v>
      </c>
      <c r="K74" s="179">
        <f>J74</f>
        <v>342</v>
      </c>
      <c r="L74" s="177">
        <v>342</v>
      </c>
      <c r="M74" s="179">
        <f t="shared" si="1"/>
        <v>342</v>
      </c>
      <c r="N74" s="179">
        <f t="shared" si="1"/>
        <v>342</v>
      </c>
      <c r="O74" s="179">
        <f t="shared" si="1"/>
        <v>342</v>
      </c>
      <c r="P74" s="623">
        <f>ROUND((D74+E74+F74+G74+H74+I74+J74+K74+L74+M74+N74+O74)/12,0)</f>
        <v>342</v>
      </c>
      <c r="Q74" s="624"/>
    </row>
    <row r="75" spans="1:17" ht="34.5" customHeight="1">
      <c r="A75" s="631" t="s">
        <v>20</v>
      </c>
      <c r="B75" s="604"/>
      <c r="C75" s="605"/>
      <c r="D75" s="179">
        <f>D74</f>
        <v>342</v>
      </c>
      <c r="E75" s="179">
        <f t="shared" si="1"/>
        <v>342</v>
      </c>
      <c r="F75" s="179">
        <f t="shared" si="1"/>
        <v>342</v>
      </c>
      <c r="G75" s="179">
        <f t="shared" si="1"/>
        <v>342</v>
      </c>
      <c r="H75" s="179">
        <f t="shared" si="1"/>
        <v>342</v>
      </c>
      <c r="I75" s="179">
        <f t="shared" si="1"/>
        <v>342</v>
      </c>
      <c r="J75" s="179">
        <f t="shared" si="1"/>
        <v>342</v>
      </c>
      <c r="K75" s="179">
        <f>K74</f>
        <v>342</v>
      </c>
      <c r="L75" s="177">
        <v>342</v>
      </c>
      <c r="M75" s="179">
        <f t="shared" si="1"/>
        <v>342</v>
      </c>
      <c r="N75" s="179">
        <f t="shared" si="1"/>
        <v>342</v>
      </c>
      <c r="O75" s="179">
        <f t="shared" si="1"/>
        <v>342</v>
      </c>
      <c r="P75" s="623">
        <f>ROUND((D75+E75+F75+G75+H75+I75+J75+K75+L75+M75+N75+O75)/12,0)</f>
        <v>342</v>
      </c>
      <c r="Q75" s="624"/>
    </row>
    <row r="76" spans="1:17" ht="42" customHeight="1">
      <c r="A76" s="631" t="s">
        <v>21</v>
      </c>
      <c r="B76" s="604"/>
      <c r="C76" s="605"/>
      <c r="D76" s="179">
        <f>D75</f>
        <v>342</v>
      </c>
      <c r="E76" s="179">
        <f t="shared" si="1"/>
        <v>342</v>
      </c>
      <c r="F76" s="179">
        <f t="shared" si="1"/>
        <v>342</v>
      </c>
      <c r="G76" s="179">
        <f t="shared" si="1"/>
        <v>342</v>
      </c>
      <c r="H76" s="179">
        <f t="shared" si="1"/>
        <v>342</v>
      </c>
      <c r="I76" s="179">
        <f t="shared" si="1"/>
        <v>342</v>
      </c>
      <c r="J76" s="179">
        <f t="shared" si="1"/>
        <v>342</v>
      </c>
      <c r="K76" s="179">
        <f>K75</f>
        <v>342</v>
      </c>
      <c r="L76" s="177">
        <v>342</v>
      </c>
      <c r="M76" s="179">
        <f t="shared" si="1"/>
        <v>342</v>
      </c>
      <c r="N76" s="179">
        <f t="shared" si="1"/>
        <v>342</v>
      </c>
      <c r="O76" s="179">
        <f t="shared" si="1"/>
        <v>342</v>
      </c>
      <c r="P76" s="623">
        <f>ROUND((D76+E76+F76+G76+H76+I76+J76+K76+L76+M76+N76+O76)/12,0)</f>
        <v>342</v>
      </c>
      <c r="Q76" s="624"/>
    </row>
    <row r="77" ht="15" hidden="1">
      <c r="L77" s="177">
        <v>1036</v>
      </c>
    </row>
    <row r="78" ht="15.75" thickBot="1"/>
    <row r="79" spans="1:2" ht="15">
      <c r="A79" s="180" t="s">
        <v>22</v>
      </c>
      <c r="B79" s="181" t="s">
        <v>23</v>
      </c>
    </row>
    <row r="81" ht="15" hidden="1"/>
    <row r="85" spans="1:18" ht="27.75" customHeight="1" hidden="1">
      <c r="A85" s="546" t="s">
        <v>24</v>
      </c>
      <c r="B85" s="546"/>
      <c r="C85" s="546"/>
      <c r="D85" s="546"/>
      <c r="E85" s="546"/>
      <c r="F85" s="546"/>
      <c r="G85" s="546"/>
      <c r="H85" s="546"/>
      <c r="I85" s="546"/>
      <c r="J85" s="546"/>
      <c r="K85" s="546"/>
      <c r="L85" s="546"/>
      <c r="M85" s="546"/>
      <c r="N85" s="546"/>
      <c r="O85" s="546"/>
      <c r="P85" s="546"/>
      <c r="Q85" s="546"/>
      <c r="R85" s="546"/>
    </row>
    <row r="86" spans="1:18" ht="15" customHeight="1">
      <c r="A86" s="546" t="s">
        <v>24</v>
      </c>
      <c r="B86" s="546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</row>
    <row r="87" spans="1:18" ht="15">
      <c r="A87" s="546"/>
      <c r="B87" s="546"/>
      <c r="C87" s="546"/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6"/>
      <c r="O87" s="546"/>
      <c r="P87" s="546"/>
      <c r="Q87" s="546"/>
      <c r="R87" s="546"/>
    </row>
    <row r="88" ht="15">
      <c r="B88" s="148" t="s">
        <v>25</v>
      </c>
    </row>
    <row r="90" ht="15">
      <c r="B90" s="148" t="s">
        <v>26</v>
      </c>
    </row>
    <row r="92" spans="1:17" ht="15" customHeight="1">
      <c r="A92" s="606" t="s">
        <v>27</v>
      </c>
      <c r="B92" s="606"/>
      <c r="C92" s="606"/>
      <c r="D92" s="583" t="s">
        <v>16</v>
      </c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5"/>
      <c r="P92" s="619" t="s">
        <v>28</v>
      </c>
      <c r="Q92" s="620"/>
    </row>
    <row r="93" spans="1:17" ht="15">
      <c r="A93" s="606"/>
      <c r="B93" s="606"/>
      <c r="C93" s="606"/>
      <c r="D93" s="176">
        <v>1</v>
      </c>
      <c r="E93" s="176">
        <v>2</v>
      </c>
      <c r="F93" s="176">
        <v>3</v>
      </c>
      <c r="G93" s="176">
        <v>4</v>
      </c>
      <c r="H93" s="176">
        <v>5</v>
      </c>
      <c r="I93" s="176">
        <v>6</v>
      </c>
      <c r="J93" s="176">
        <v>7</v>
      </c>
      <c r="K93" s="176">
        <v>8</v>
      </c>
      <c r="L93" s="176">
        <v>9</v>
      </c>
      <c r="M93" s="176">
        <v>10</v>
      </c>
      <c r="N93" s="176">
        <v>11</v>
      </c>
      <c r="O93" s="176">
        <v>12</v>
      </c>
      <c r="P93" s="621"/>
      <c r="Q93" s="622"/>
    </row>
    <row r="94" spans="1:17" ht="91.5" customHeight="1">
      <c r="A94" s="604" t="s">
        <v>29</v>
      </c>
      <c r="B94" s="604"/>
      <c r="C94" s="605"/>
      <c r="D94" s="182">
        <f>D115+D127</f>
        <v>1601018</v>
      </c>
      <c r="E94" s="182">
        <f aca="true" t="shared" si="2" ref="E94:P94">E115+E127</f>
        <v>1723913</v>
      </c>
      <c r="F94" s="182">
        <f t="shared" si="2"/>
        <v>1728266</v>
      </c>
      <c r="G94" s="182">
        <f t="shared" si="2"/>
        <v>1861361</v>
      </c>
      <c r="H94" s="182">
        <f t="shared" si="2"/>
        <v>2362988</v>
      </c>
      <c r="I94" s="182">
        <f t="shared" si="2"/>
        <v>1625629</v>
      </c>
      <c r="J94" s="182">
        <f t="shared" si="2"/>
        <v>1404697</v>
      </c>
      <c r="K94" s="182">
        <f t="shared" si="2"/>
        <v>1370293</v>
      </c>
      <c r="L94" s="182">
        <f t="shared" si="2"/>
        <v>1667015</v>
      </c>
      <c r="M94" s="182">
        <f t="shared" si="2"/>
        <v>1721706</v>
      </c>
      <c r="N94" s="182">
        <f t="shared" si="2"/>
        <v>1835147</v>
      </c>
      <c r="O94" s="182">
        <f t="shared" si="2"/>
        <v>1845113</v>
      </c>
      <c r="P94" s="636">
        <f t="shared" si="2"/>
        <v>20747146</v>
      </c>
      <c r="Q94" s="637"/>
    </row>
    <row r="95" ht="15" hidden="1"/>
    <row r="96" ht="15.75" thickBot="1"/>
    <row r="97" spans="1:13" ht="15">
      <c r="A97" s="180" t="s">
        <v>22</v>
      </c>
      <c r="B97" s="181" t="s">
        <v>23</v>
      </c>
      <c r="M97" s="148" t="s">
        <v>307</v>
      </c>
    </row>
    <row r="99" spans="1:18" ht="29.25" customHeight="1">
      <c r="A99" s="546" t="s">
        <v>24</v>
      </c>
      <c r="B99" s="546"/>
      <c r="C99" s="546"/>
      <c r="D99" s="546"/>
      <c r="E99" s="546"/>
      <c r="F99" s="546"/>
      <c r="G99" s="546"/>
      <c r="H99" s="546"/>
      <c r="I99" s="546"/>
      <c r="J99" s="546"/>
      <c r="K99" s="546"/>
      <c r="L99" s="546"/>
      <c r="M99" s="546"/>
      <c r="N99" s="546"/>
      <c r="O99" s="546"/>
      <c r="P99" s="546"/>
      <c r="Q99" s="546"/>
      <c r="R99" s="546"/>
    </row>
    <row r="100" ht="15" hidden="1"/>
    <row r="101" ht="15" hidden="1"/>
    <row r="102" ht="15" hidden="1"/>
    <row r="103" ht="15">
      <c r="B103" s="148" t="s">
        <v>30</v>
      </c>
    </row>
    <row r="105" spans="1:17" ht="15" customHeight="1">
      <c r="A105" s="606" t="s">
        <v>15</v>
      </c>
      <c r="B105" s="606"/>
      <c r="C105" s="606" t="s">
        <v>31</v>
      </c>
      <c r="D105" s="583" t="s">
        <v>32</v>
      </c>
      <c r="E105" s="584"/>
      <c r="F105" s="584"/>
      <c r="G105" s="584"/>
      <c r="H105" s="584"/>
      <c r="I105" s="584"/>
      <c r="J105" s="584"/>
      <c r="K105" s="584"/>
      <c r="L105" s="584"/>
      <c r="M105" s="584"/>
      <c r="N105" s="584"/>
      <c r="O105" s="585"/>
      <c r="P105" s="606" t="s">
        <v>28</v>
      </c>
      <c r="Q105" s="606"/>
    </row>
    <row r="106" spans="1:17" ht="41.25" customHeight="1">
      <c r="A106" s="606"/>
      <c r="B106" s="606"/>
      <c r="C106" s="606"/>
      <c r="D106" s="176">
        <v>1</v>
      </c>
      <c r="E106" s="176">
        <v>2</v>
      </c>
      <c r="F106" s="176">
        <v>3</v>
      </c>
      <c r="G106" s="176">
        <v>4</v>
      </c>
      <c r="H106" s="176">
        <v>5</v>
      </c>
      <c r="I106" s="176">
        <v>6</v>
      </c>
      <c r="J106" s="176">
        <v>7</v>
      </c>
      <c r="K106" s="176">
        <v>8</v>
      </c>
      <c r="L106" s="176">
        <v>9</v>
      </c>
      <c r="M106" s="176">
        <v>10</v>
      </c>
      <c r="N106" s="176">
        <v>11</v>
      </c>
      <c r="O106" s="176">
        <v>12</v>
      </c>
      <c r="P106" s="606"/>
      <c r="Q106" s="606"/>
    </row>
    <row r="107" spans="1:17" ht="48.75" customHeight="1">
      <c r="A107" s="632" t="s">
        <v>182</v>
      </c>
      <c r="B107" s="633"/>
      <c r="C107" s="183" t="s">
        <v>33</v>
      </c>
      <c r="D107" s="184">
        <f>ROUND(D108/D73,2)</f>
        <v>0</v>
      </c>
      <c r="E107" s="184">
        <f aca="true" t="shared" si="3" ref="E107:O107">ROUND(E108/E73,2)</f>
        <v>0</v>
      </c>
      <c r="F107" s="184">
        <f t="shared" si="3"/>
        <v>0</v>
      </c>
      <c r="G107" s="184">
        <f t="shared" si="3"/>
        <v>0</v>
      </c>
      <c r="H107" s="184">
        <f t="shared" si="3"/>
        <v>0</v>
      </c>
      <c r="I107" s="184">
        <f t="shared" si="3"/>
        <v>0</v>
      </c>
      <c r="J107" s="184">
        <f t="shared" si="3"/>
        <v>0</v>
      </c>
      <c r="K107" s="184">
        <f t="shared" si="3"/>
        <v>0</v>
      </c>
      <c r="L107" s="184">
        <f t="shared" si="3"/>
        <v>0</v>
      </c>
      <c r="M107" s="184">
        <f t="shared" si="3"/>
        <v>0</v>
      </c>
      <c r="N107" s="184">
        <f t="shared" si="3"/>
        <v>0</v>
      </c>
      <c r="O107" s="184">
        <f t="shared" si="3"/>
        <v>0</v>
      </c>
      <c r="P107" s="563">
        <f aca="true" t="shared" si="4" ref="P107:P115">SUM(D107:O107)</f>
        <v>0</v>
      </c>
      <c r="Q107" s="563"/>
    </row>
    <row r="108" spans="1:17" ht="58.5" customHeight="1">
      <c r="A108" s="634"/>
      <c r="B108" s="635"/>
      <c r="C108" s="183" t="s">
        <v>34</v>
      </c>
      <c r="D108" s="185">
        <f>'вспомогательная таблица'!D32</f>
        <v>0</v>
      </c>
      <c r="E108" s="185">
        <f>'вспомогательная таблица'!E32</f>
        <v>0</v>
      </c>
      <c r="F108" s="185">
        <f>'вспомогательная таблица'!F32</f>
        <v>0</v>
      </c>
      <c r="G108" s="355">
        <f>'вспомогательная таблица'!H32</f>
        <v>0</v>
      </c>
      <c r="H108" s="355">
        <f>'вспомогательная таблица'!I32</f>
        <v>0</v>
      </c>
      <c r="I108" s="355">
        <f>'вспомогательная таблица'!J32</f>
        <v>0</v>
      </c>
      <c r="J108" s="185">
        <f>'вспомогательная таблица'!L32</f>
        <v>0</v>
      </c>
      <c r="K108" s="185">
        <f>'вспомогательная таблица'!M32</f>
        <v>0</v>
      </c>
      <c r="L108" s="185">
        <f>'вспомогательная таблица'!N32</f>
        <v>0</v>
      </c>
      <c r="M108" s="185">
        <f>'вспомогательная таблица'!P32</f>
        <v>0</v>
      </c>
      <c r="N108" s="185">
        <f>'вспомогательная таблица'!Q32</f>
        <v>0</v>
      </c>
      <c r="O108" s="185">
        <f>'вспомогательная таблица'!R32</f>
        <v>0</v>
      </c>
      <c r="P108" s="563">
        <f t="shared" si="4"/>
        <v>0</v>
      </c>
      <c r="Q108" s="563"/>
    </row>
    <row r="109" spans="1:17" ht="41.25" customHeight="1">
      <c r="A109" s="562" t="s">
        <v>183</v>
      </c>
      <c r="B109" s="562"/>
      <c r="C109" s="183" t="s">
        <v>33</v>
      </c>
      <c r="D109" s="184">
        <f>ROUND(D110/D73,2)</f>
        <v>338.99</v>
      </c>
      <c r="E109" s="184">
        <f aca="true" t="shared" si="5" ref="E109:O109">ROUND(E110/E73,2)</f>
        <v>612.42</v>
      </c>
      <c r="F109" s="184">
        <f t="shared" si="5"/>
        <v>612.04</v>
      </c>
      <c r="G109" s="184">
        <f t="shared" si="5"/>
        <v>705.15</v>
      </c>
      <c r="H109" s="184">
        <f t="shared" si="5"/>
        <v>395.79</v>
      </c>
      <c r="I109" s="184">
        <f t="shared" si="5"/>
        <v>398.5</v>
      </c>
      <c r="J109" s="184">
        <f t="shared" si="5"/>
        <v>887.58</v>
      </c>
      <c r="K109" s="184">
        <f t="shared" si="5"/>
        <v>532.82</v>
      </c>
      <c r="L109" s="184">
        <f t="shared" si="5"/>
        <v>519.51</v>
      </c>
      <c r="M109" s="184">
        <f t="shared" si="5"/>
        <v>519.4</v>
      </c>
      <c r="N109" s="184">
        <f t="shared" si="5"/>
        <v>928.18</v>
      </c>
      <c r="O109" s="184">
        <f t="shared" si="5"/>
        <v>1052.75</v>
      </c>
      <c r="P109" s="563">
        <f t="shared" si="4"/>
        <v>7503.13</v>
      </c>
      <c r="Q109" s="563"/>
    </row>
    <row r="110" spans="1:20" ht="54" customHeight="1">
      <c r="A110" s="562"/>
      <c r="B110" s="562"/>
      <c r="C110" s="183" t="s">
        <v>34</v>
      </c>
      <c r="D110" s="185">
        <f>'вспомогательная таблица'!D33</f>
        <v>115934</v>
      </c>
      <c r="E110" s="185">
        <f>'вспомогательная таблица'!E33</f>
        <v>209448</v>
      </c>
      <c r="F110" s="185">
        <f>'вспомогательная таблица'!F33</f>
        <v>209318</v>
      </c>
      <c r="G110" s="355">
        <f>'вспомогательная таблица'!H33</f>
        <v>241161</v>
      </c>
      <c r="H110" s="355">
        <f>'вспомогательная таблица'!I33</f>
        <v>135361</v>
      </c>
      <c r="I110" s="355">
        <f>'вспомогательная таблица'!J33</f>
        <v>136287</v>
      </c>
      <c r="J110" s="185">
        <f>'вспомогательная таблица'!L33</f>
        <v>303551</v>
      </c>
      <c r="K110" s="185">
        <f>'вспомогательная таблица'!M33</f>
        <v>182226</v>
      </c>
      <c r="L110" s="185">
        <f>'вспомогательная таблица'!N33</f>
        <v>177672</v>
      </c>
      <c r="M110" s="185">
        <f>'вспомогательная таблица'!P33</f>
        <v>177636</v>
      </c>
      <c r="N110" s="185">
        <f>'вспомогательная таблица'!Q33</f>
        <v>317436</v>
      </c>
      <c r="O110" s="185">
        <f>'вспомогательная таблица'!R33</f>
        <v>360040</v>
      </c>
      <c r="P110" s="563">
        <f t="shared" si="4"/>
        <v>2566070</v>
      </c>
      <c r="Q110" s="563"/>
      <c r="T110" s="504" t="s">
        <v>426</v>
      </c>
    </row>
    <row r="111" spans="1:17" ht="57.75" customHeight="1">
      <c r="A111" s="632" t="s">
        <v>184</v>
      </c>
      <c r="B111" s="633"/>
      <c r="C111" s="183" t="s">
        <v>33</v>
      </c>
      <c r="D111" s="184">
        <f>ROUND(D112/D73,2)</f>
        <v>2180.79</v>
      </c>
      <c r="E111" s="184">
        <f aca="true" t="shared" si="6" ref="E111:O111">ROUND(E112/E73,2)</f>
        <v>2180.79</v>
      </c>
      <c r="F111" s="184">
        <f t="shared" si="6"/>
        <v>2193.24</v>
      </c>
      <c r="G111" s="184">
        <f t="shared" si="6"/>
        <v>2403.39</v>
      </c>
      <c r="H111" s="184">
        <f t="shared" si="6"/>
        <v>3271.18</v>
      </c>
      <c r="I111" s="184">
        <f t="shared" si="6"/>
        <v>2193.24</v>
      </c>
      <c r="J111" s="184">
        <f t="shared" si="6"/>
        <v>1526.55</v>
      </c>
      <c r="K111" s="184">
        <f t="shared" si="6"/>
        <v>1744.63</v>
      </c>
      <c r="L111" s="184">
        <f t="shared" si="6"/>
        <v>2193.24</v>
      </c>
      <c r="M111" s="184">
        <f t="shared" si="6"/>
        <v>2180.79</v>
      </c>
      <c r="N111" s="184">
        <f t="shared" si="6"/>
        <v>2224.4</v>
      </c>
      <c r="O111" s="184">
        <f t="shared" si="6"/>
        <v>2232.57</v>
      </c>
      <c r="P111" s="563">
        <f t="shared" si="4"/>
        <v>26524.809999999998</v>
      </c>
      <c r="Q111" s="563"/>
    </row>
    <row r="112" spans="1:20" ht="62.25" customHeight="1">
      <c r="A112" s="634"/>
      <c r="B112" s="635"/>
      <c r="C112" s="183" t="s">
        <v>34</v>
      </c>
      <c r="D112" s="185">
        <f>'вспомогательная таблица'!D29</f>
        <v>745829.38</v>
      </c>
      <c r="E112" s="185">
        <f>'вспомогательная таблица'!E29</f>
        <v>745829.38</v>
      </c>
      <c r="F112" s="185">
        <f>'вспомогательная таблица'!F29</f>
        <v>750087.38</v>
      </c>
      <c r="G112" s="355">
        <f>'вспомогательная таблица'!H29</f>
        <v>821958.38</v>
      </c>
      <c r="H112" s="355">
        <f>'вспомогательная таблица'!I29</f>
        <v>1118744</v>
      </c>
      <c r="I112" s="355">
        <f>'вспомогательная таблица'!J29</f>
        <v>750087.38</v>
      </c>
      <c r="J112" s="185">
        <f>'вспомогательная таблица'!L29</f>
        <v>522079</v>
      </c>
      <c r="K112" s="185">
        <f>'вспомогательная таблица'!M29</f>
        <v>596662</v>
      </c>
      <c r="L112" s="185">
        <f>'вспомогательная таблица'!N29</f>
        <v>750087.38</v>
      </c>
      <c r="M112" s="185">
        <f>'вспомогательная таблица'!P29</f>
        <v>745829.38</v>
      </c>
      <c r="N112" s="185">
        <f>'вспомогательная таблица'!Q29</f>
        <v>760746</v>
      </c>
      <c r="O112" s="185">
        <f>'вспомогательная таблица'!R29</f>
        <v>763539.0700000001</v>
      </c>
      <c r="P112" s="563">
        <f t="shared" si="4"/>
        <v>9071478.73</v>
      </c>
      <c r="Q112" s="563"/>
      <c r="T112" s="504" t="s">
        <v>425</v>
      </c>
    </row>
    <row r="113" spans="1:17" ht="41.25" customHeight="1">
      <c r="A113" s="562" t="s">
        <v>185</v>
      </c>
      <c r="B113" s="562"/>
      <c r="C113" s="183" t="s">
        <v>33</v>
      </c>
      <c r="D113" s="184">
        <f>D114/D73</f>
        <v>2161.563216374269</v>
      </c>
      <c r="E113" s="184">
        <f aca="true" t="shared" si="7" ref="E113:O113">E114/E73</f>
        <v>2161.563216374269</v>
      </c>
      <c r="F113" s="184">
        <f t="shared" si="7"/>
        <v>2161.563216374269</v>
      </c>
      <c r="G113" s="184">
        <f t="shared" si="7"/>
        <v>2161.563216374269</v>
      </c>
      <c r="H113" s="184">
        <f t="shared" si="7"/>
        <v>3242.347953216374</v>
      </c>
      <c r="I113" s="184">
        <f t="shared" si="7"/>
        <v>2161.563216374269</v>
      </c>
      <c r="J113" s="184">
        <f t="shared" si="7"/>
        <v>1513.0994152046783</v>
      </c>
      <c r="K113" s="184">
        <f t="shared" si="7"/>
        <v>1729.2543859649122</v>
      </c>
      <c r="L113" s="184">
        <f t="shared" si="7"/>
        <v>2161.566140350877</v>
      </c>
      <c r="M113" s="184">
        <f t="shared" si="7"/>
        <v>2161.563216374269</v>
      </c>
      <c r="N113" s="184">
        <f t="shared" si="7"/>
        <v>2213.347953216374</v>
      </c>
      <c r="O113" s="184">
        <f t="shared" si="7"/>
        <v>2109.748333333333</v>
      </c>
      <c r="P113" s="563">
        <f t="shared" si="4"/>
        <v>25938.743479532164</v>
      </c>
      <c r="Q113" s="563"/>
    </row>
    <row r="114" spans="1:17" ht="54" customHeight="1">
      <c r="A114" s="562"/>
      <c r="B114" s="562"/>
      <c r="C114" s="183" t="s">
        <v>34</v>
      </c>
      <c r="D114" s="185">
        <f>'вспомогательная таблица'!D30</f>
        <v>739254.62</v>
      </c>
      <c r="E114" s="185">
        <f>'вспомогательная таблица'!E30</f>
        <v>739254.62</v>
      </c>
      <c r="F114" s="185">
        <f>'вспомогательная таблица'!F30</f>
        <v>739254.62</v>
      </c>
      <c r="G114" s="355">
        <f>'вспомогательная таблица'!H30</f>
        <v>739254.62</v>
      </c>
      <c r="H114" s="355">
        <f>'вспомогательная таблица'!I30</f>
        <v>1108883</v>
      </c>
      <c r="I114" s="355">
        <f>'вспомогательная таблица'!J30</f>
        <v>739254.62</v>
      </c>
      <c r="J114" s="185">
        <f>'вспомогательная таблица'!L30</f>
        <v>517480</v>
      </c>
      <c r="K114" s="185">
        <f>'вспомогательная таблица'!M30</f>
        <v>591405</v>
      </c>
      <c r="L114" s="185">
        <f>'вспомогательная таблица'!N30</f>
        <v>739255.62</v>
      </c>
      <c r="M114" s="185">
        <f>'вспомогательная таблица'!P30</f>
        <v>739254.62</v>
      </c>
      <c r="N114" s="185">
        <f>'вспомогательная таблица'!Q30</f>
        <v>756965</v>
      </c>
      <c r="O114" s="185">
        <f>'вспомогательная таблица'!R30</f>
        <v>721533.9299999999</v>
      </c>
      <c r="P114" s="563">
        <f t="shared" si="4"/>
        <v>8871050.27</v>
      </c>
      <c r="Q114" s="563"/>
    </row>
    <row r="115" spans="1:17" ht="77.25" customHeight="1">
      <c r="A115" s="562" t="s">
        <v>36</v>
      </c>
      <c r="B115" s="562"/>
      <c r="C115" s="186" t="s">
        <v>37</v>
      </c>
      <c r="D115" s="184">
        <f>D110+D108+D114+D112</f>
        <v>1601018</v>
      </c>
      <c r="E115" s="184">
        <f aca="true" t="shared" si="8" ref="E115:O115">E110+E108+E114+E112</f>
        <v>1694532</v>
      </c>
      <c r="F115" s="184">
        <f t="shared" si="8"/>
        <v>1698660</v>
      </c>
      <c r="G115" s="184">
        <f t="shared" si="8"/>
        <v>1802374</v>
      </c>
      <c r="H115" s="184">
        <f t="shared" si="8"/>
        <v>2362988</v>
      </c>
      <c r="I115" s="184">
        <f t="shared" si="8"/>
        <v>1625629</v>
      </c>
      <c r="J115" s="184">
        <f t="shared" si="8"/>
        <v>1343110</v>
      </c>
      <c r="K115" s="184">
        <f t="shared" si="8"/>
        <v>1370293</v>
      </c>
      <c r="L115" s="184">
        <f t="shared" si="8"/>
        <v>1667015</v>
      </c>
      <c r="M115" s="184">
        <f t="shared" si="8"/>
        <v>1662720</v>
      </c>
      <c r="N115" s="184">
        <f t="shared" si="8"/>
        <v>1835147</v>
      </c>
      <c r="O115" s="184">
        <f t="shared" si="8"/>
        <v>1845113</v>
      </c>
      <c r="P115" s="563">
        <f t="shared" si="4"/>
        <v>20508599</v>
      </c>
      <c r="Q115" s="563"/>
    </row>
    <row r="116" ht="15.75" thickBot="1"/>
    <row r="117" spans="1:2" ht="21" customHeight="1">
      <c r="A117" s="180" t="s">
        <v>22</v>
      </c>
      <c r="B117" s="181" t="s">
        <v>23</v>
      </c>
    </row>
    <row r="118" ht="15" hidden="1"/>
    <row r="119" ht="15" hidden="1"/>
    <row r="120" spans="1:18" ht="29.25" customHeight="1">
      <c r="A120" s="546" t="s">
        <v>24</v>
      </c>
      <c r="B120" s="546"/>
      <c r="C120" s="546"/>
      <c r="D120" s="546"/>
      <c r="E120" s="546"/>
      <c r="F120" s="546"/>
      <c r="G120" s="546"/>
      <c r="H120" s="546"/>
      <c r="I120" s="546"/>
      <c r="J120" s="546"/>
      <c r="K120" s="546"/>
      <c r="L120" s="546"/>
      <c r="M120" s="546"/>
      <c r="N120" s="546"/>
      <c r="O120" s="546"/>
      <c r="P120" s="546"/>
      <c r="Q120" s="546"/>
      <c r="R120" s="546"/>
    </row>
    <row r="123" ht="15">
      <c r="B123" s="148" t="s">
        <v>38</v>
      </c>
    </row>
    <row r="125" spans="1:17" ht="15" customHeight="1">
      <c r="A125" s="606" t="s">
        <v>15</v>
      </c>
      <c r="B125" s="606"/>
      <c r="C125" s="606"/>
      <c r="D125" s="583" t="s">
        <v>32</v>
      </c>
      <c r="E125" s="584"/>
      <c r="F125" s="584"/>
      <c r="G125" s="584"/>
      <c r="H125" s="584"/>
      <c r="I125" s="584"/>
      <c r="J125" s="584"/>
      <c r="K125" s="584"/>
      <c r="L125" s="584"/>
      <c r="M125" s="584"/>
      <c r="N125" s="584"/>
      <c r="O125" s="585"/>
      <c r="P125" s="619" t="s">
        <v>28</v>
      </c>
      <c r="Q125" s="620"/>
    </row>
    <row r="126" spans="1:17" ht="15">
      <c r="A126" s="606"/>
      <c r="B126" s="606"/>
      <c r="C126" s="606"/>
      <c r="D126" s="176">
        <v>1</v>
      </c>
      <c r="E126" s="176">
        <v>2</v>
      </c>
      <c r="F126" s="176">
        <v>3</v>
      </c>
      <c r="G126" s="176">
        <v>4</v>
      </c>
      <c r="H126" s="176">
        <v>5</v>
      </c>
      <c r="I126" s="176">
        <v>6</v>
      </c>
      <c r="J126" s="176">
        <v>7</v>
      </c>
      <c r="K126" s="176">
        <v>8</v>
      </c>
      <c r="L126" s="176">
        <v>9</v>
      </c>
      <c r="M126" s="176">
        <v>10</v>
      </c>
      <c r="N126" s="176">
        <v>11</v>
      </c>
      <c r="O126" s="176">
        <v>12</v>
      </c>
      <c r="P126" s="621"/>
      <c r="Q126" s="622"/>
    </row>
    <row r="127" spans="1:17" ht="94.5" customHeight="1">
      <c r="A127" s="574" t="s">
        <v>39</v>
      </c>
      <c r="B127" s="574"/>
      <c r="C127" s="575"/>
      <c r="D127" s="187">
        <f>D128</f>
        <v>0</v>
      </c>
      <c r="E127" s="187">
        <f aca="true" t="shared" si="9" ref="E127:O127">E128</f>
        <v>29381</v>
      </c>
      <c r="F127" s="187">
        <f t="shared" si="9"/>
        <v>29606</v>
      </c>
      <c r="G127" s="187">
        <f t="shared" si="9"/>
        <v>58987</v>
      </c>
      <c r="H127" s="187">
        <f t="shared" si="9"/>
        <v>0</v>
      </c>
      <c r="I127" s="187">
        <f t="shared" si="9"/>
        <v>0</v>
      </c>
      <c r="J127" s="187">
        <f t="shared" si="9"/>
        <v>61587</v>
      </c>
      <c r="K127" s="187">
        <f t="shared" si="9"/>
        <v>0</v>
      </c>
      <c r="L127" s="187">
        <f t="shared" si="9"/>
        <v>0</v>
      </c>
      <c r="M127" s="187">
        <f t="shared" si="9"/>
        <v>58986</v>
      </c>
      <c r="N127" s="187">
        <f t="shared" si="9"/>
        <v>0</v>
      </c>
      <c r="O127" s="187">
        <f t="shared" si="9"/>
        <v>0</v>
      </c>
      <c r="P127" s="623">
        <f>SUM(D127:O127)</f>
        <v>238547</v>
      </c>
      <c r="Q127" s="624"/>
    </row>
    <row r="128" spans="1:17" ht="39.75" customHeight="1">
      <c r="A128" s="631" t="s">
        <v>35</v>
      </c>
      <c r="B128" s="604"/>
      <c r="C128" s="605"/>
      <c r="D128" s="188">
        <f>'вспомогательная таблица'!D34</f>
        <v>0</v>
      </c>
      <c r="E128" s="188">
        <f>'вспомогательная таблица'!E34</f>
        <v>29381</v>
      </c>
      <c r="F128" s="188">
        <f>'вспомогательная таблица'!F34</f>
        <v>29606</v>
      </c>
      <c r="G128" s="188">
        <f>'вспомогательная таблица'!H34</f>
        <v>58987</v>
      </c>
      <c r="H128" s="188">
        <f>'вспомогательная таблица'!I34</f>
        <v>0</v>
      </c>
      <c r="I128" s="188">
        <f>'вспомогательная таблица'!J34</f>
        <v>0</v>
      </c>
      <c r="J128" s="188">
        <f>'вспомогательная таблица'!L34</f>
        <v>61587</v>
      </c>
      <c r="K128" s="188">
        <f>'вспомогательная таблица'!M34</f>
        <v>0</v>
      </c>
      <c r="L128" s="188">
        <f>'вспомогательная таблица'!N34</f>
        <v>0</v>
      </c>
      <c r="M128" s="188">
        <f>'вспомогательная таблица'!P34</f>
        <v>58986</v>
      </c>
      <c r="N128" s="188">
        <f>'вспомогательная таблица'!Q34</f>
        <v>0</v>
      </c>
      <c r="O128" s="188">
        <f>'вспомогательная таблица'!R34</f>
        <v>0</v>
      </c>
      <c r="P128" s="623">
        <f>SUM(D128:O128)</f>
        <v>238547</v>
      </c>
      <c r="Q128" s="624"/>
    </row>
    <row r="129" ht="15.75" thickBot="1"/>
    <row r="130" spans="1:2" ht="15">
      <c r="A130" s="180" t="s">
        <v>22</v>
      </c>
      <c r="B130" s="181" t="s">
        <v>23</v>
      </c>
    </row>
    <row r="132" spans="1:18" ht="33" customHeight="1">
      <c r="A132" s="546" t="s">
        <v>24</v>
      </c>
      <c r="B132" s="546"/>
      <c r="C132" s="546"/>
      <c r="D132" s="546"/>
      <c r="E132" s="546"/>
      <c r="F132" s="546"/>
      <c r="G132" s="546"/>
      <c r="H132" s="546"/>
      <c r="I132" s="546"/>
      <c r="J132" s="546"/>
      <c r="K132" s="546"/>
      <c r="L132" s="546"/>
      <c r="M132" s="546"/>
      <c r="N132" s="546"/>
      <c r="O132" s="546"/>
      <c r="P132" s="546"/>
      <c r="Q132" s="546"/>
      <c r="R132" s="546"/>
    </row>
    <row r="135" ht="15">
      <c r="B135" s="148" t="s">
        <v>40</v>
      </c>
    </row>
    <row r="137" spans="1:17" ht="15" customHeight="1">
      <c r="A137" s="606" t="s">
        <v>41</v>
      </c>
      <c r="B137" s="606"/>
      <c r="C137" s="606"/>
      <c r="D137" s="583" t="s">
        <v>32</v>
      </c>
      <c r="E137" s="584"/>
      <c r="F137" s="584"/>
      <c r="G137" s="584"/>
      <c r="H137" s="584"/>
      <c r="I137" s="584"/>
      <c r="J137" s="584"/>
      <c r="K137" s="584"/>
      <c r="L137" s="584"/>
      <c r="M137" s="584"/>
      <c r="N137" s="584"/>
      <c r="O137" s="585"/>
      <c r="P137" s="619" t="s">
        <v>28</v>
      </c>
      <c r="Q137" s="620"/>
    </row>
    <row r="138" spans="1:17" ht="15">
      <c r="A138" s="606"/>
      <c r="B138" s="606"/>
      <c r="C138" s="606"/>
      <c r="D138" s="176">
        <v>1</v>
      </c>
      <c r="E138" s="176">
        <v>2</v>
      </c>
      <c r="F138" s="176">
        <v>3</v>
      </c>
      <c r="G138" s="176">
        <v>4</v>
      </c>
      <c r="H138" s="176">
        <v>5</v>
      </c>
      <c r="I138" s="176">
        <v>6</v>
      </c>
      <c r="J138" s="176">
        <v>7</v>
      </c>
      <c r="K138" s="176">
        <v>8</v>
      </c>
      <c r="L138" s="176">
        <v>9</v>
      </c>
      <c r="M138" s="176">
        <v>10</v>
      </c>
      <c r="N138" s="176">
        <v>11</v>
      </c>
      <c r="O138" s="176">
        <v>12</v>
      </c>
      <c r="P138" s="621"/>
      <c r="Q138" s="622"/>
    </row>
    <row r="139" spans="1:17" ht="102" customHeight="1">
      <c r="A139" s="615" t="s">
        <v>39</v>
      </c>
      <c r="B139" s="615"/>
      <c r="C139" s="616"/>
      <c r="D139" s="189">
        <f>SUM(D140:D152)</f>
        <v>0</v>
      </c>
      <c r="E139" s="189">
        <f aca="true" t="shared" si="10" ref="E139:O139">SUM(E140:E152)</f>
        <v>0</v>
      </c>
      <c r="F139" s="189">
        <f t="shared" si="10"/>
        <v>91185</v>
      </c>
      <c r="G139" s="189">
        <f t="shared" si="10"/>
        <v>41320</v>
      </c>
      <c r="H139" s="189">
        <f t="shared" si="10"/>
        <v>41320</v>
      </c>
      <c r="I139" s="189">
        <f t="shared" si="10"/>
        <v>41320</v>
      </c>
      <c r="J139" s="189">
        <f t="shared" si="10"/>
        <v>155400</v>
      </c>
      <c r="K139" s="189">
        <f t="shared" si="10"/>
        <v>55400</v>
      </c>
      <c r="L139" s="189">
        <f>SUM(L140:L152)</f>
        <v>55603</v>
      </c>
      <c r="M139" s="189">
        <f t="shared" si="10"/>
        <v>3380716.79</v>
      </c>
      <c r="N139" s="189">
        <f t="shared" si="10"/>
        <v>120448</v>
      </c>
      <c r="O139" s="189">
        <f t="shared" si="10"/>
        <v>120448</v>
      </c>
      <c r="P139" s="617">
        <f>SUM(D139:O139)</f>
        <v>4103160.79</v>
      </c>
      <c r="Q139" s="618"/>
    </row>
    <row r="140" spans="1:17" ht="51.75" customHeight="1">
      <c r="A140" s="628" t="s">
        <v>456</v>
      </c>
      <c r="B140" s="629"/>
      <c r="C140" s="630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617">
        <f aca="true" t="shared" si="11" ref="P140:P145">SUM(D140:O140)</f>
        <v>0</v>
      </c>
      <c r="Q140" s="618"/>
    </row>
    <row r="141" spans="1:17" ht="44.25" customHeight="1">
      <c r="A141" s="628" t="s">
        <v>457</v>
      </c>
      <c r="B141" s="629"/>
      <c r="C141" s="630"/>
      <c r="D141" s="189"/>
      <c r="E141" s="189"/>
      <c r="F141" s="189">
        <v>91185</v>
      </c>
      <c r="G141" s="189">
        <v>41320</v>
      </c>
      <c r="H141" s="189">
        <v>41320</v>
      </c>
      <c r="I141" s="189">
        <v>41320</v>
      </c>
      <c r="J141" s="189">
        <v>55400</v>
      </c>
      <c r="K141" s="189">
        <v>55400</v>
      </c>
      <c r="L141" s="189">
        <v>55603</v>
      </c>
      <c r="M141" s="189">
        <v>120448</v>
      </c>
      <c r="N141" s="189">
        <v>120448</v>
      </c>
      <c r="O141" s="189">
        <v>120448</v>
      </c>
      <c r="P141" s="617">
        <f t="shared" si="11"/>
        <v>742892</v>
      </c>
      <c r="Q141" s="618"/>
    </row>
    <row r="142" spans="1:17" ht="70.5" customHeight="1">
      <c r="A142" s="628" t="s">
        <v>458</v>
      </c>
      <c r="B142" s="629"/>
      <c r="C142" s="630"/>
      <c r="D142" s="189"/>
      <c r="E142" s="189"/>
      <c r="F142" s="189"/>
      <c r="G142" s="189"/>
      <c r="H142" s="189"/>
      <c r="I142" s="189"/>
      <c r="J142" s="189">
        <v>100000</v>
      </c>
      <c r="K142" s="189"/>
      <c r="L142" s="189"/>
      <c r="M142" s="189">
        <v>3260268.79</v>
      </c>
      <c r="N142" s="189"/>
      <c r="O142" s="189"/>
      <c r="P142" s="617">
        <f t="shared" si="11"/>
        <v>3360268.79</v>
      </c>
      <c r="Q142" s="618"/>
    </row>
    <row r="143" spans="1:17" ht="50.25" customHeight="1">
      <c r="A143" s="614"/>
      <c r="B143" s="615"/>
      <c r="C143" s="616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617">
        <f t="shared" si="11"/>
        <v>0</v>
      </c>
      <c r="Q143" s="618"/>
    </row>
    <row r="144" spans="1:17" ht="39.75" customHeight="1">
      <c r="A144" s="614"/>
      <c r="B144" s="615"/>
      <c r="C144" s="616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617">
        <f t="shared" si="11"/>
        <v>0</v>
      </c>
      <c r="Q144" s="618"/>
    </row>
    <row r="145" spans="1:17" ht="36" customHeight="1" hidden="1">
      <c r="A145" s="614"/>
      <c r="B145" s="615"/>
      <c r="C145" s="616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617">
        <f t="shared" si="11"/>
        <v>0</v>
      </c>
      <c r="Q145" s="618"/>
    </row>
    <row r="146" spans="1:17" ht="49.5" customHeight="1" hidden="1">
      <c r="A146" s="614"/>
      <c r="B146" s="615"/>
      <c r="C146" s="616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617">
        <f aca="true" t="shared" si="12" ref="P146:P152">SUM(D146:O146)</f>
        <v>0</v>
      </c>
      <c r="Q146" s="618"/>
    </row>
    <row r="147" spans="1:17" ht="42" customHeight="1" hidden="1">
      <c r="A147" s="614"/>
      <c r="B147" s="615"/>
      <c r="C147" s="616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617">
        <f t="shared" si="12"/>
        <v>0</v>
      </c>
      <c r="Q147" s="618"/>
    </row>
    <row r="148" spans="1:17" ht="44.25" customHeight="1" hidden="1">
      <c r="A148" s="614"/>
      <c r="B148" s="615"/>
      <c r="C148" s="616"/>
      <c r="D148" s="189"/>
      <c r="E148" s="189"/>
      <c r="F148" s="189"/>
      <c r="G148" s="187"/>
      <c r="H148" s="187"/>
      <c r="I148" s="187"/>
      <c r="J148" s="187"/>
      <c r="K148" s="187"/>
      <c r="L148" s="187"/>
      <c r="M148" s="187"/>
      <c r="N148" s="187"/>
      <c r="O148" s="187"/>
      <c r="P148" s="617">
        <f t="shared" si="12"/>
        <v>0</v>
      </c>
      <c r="Q148" s="618"/>
    </row>
    <row r="149" spans="1:17" ht="27.75" customHeight="1" hidden="1">
      <c r="A149" s="625"/>
      <c r="B149" s="626"/>
      <c r="C149" s="62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623">
        <f t="shared" si="12"/>
        <v>0</v>
      </c>
      <c r="Q149" s="624"/>
    </row>
    <row r="150" spans="1:17" ht="43.5" customHeight="1" hidden="1">
      <c r="A150" s="573"/>
      <c r="B150" s="574"/>
      <c r="C150" s="575"/>
      <c r="D150" s="177"/>
      <c r="E150" s="177"/>
      <c r="F150" s="177"/>
      <c r="G150" s="177"/>
      <c r="H150" s="177"/>
      <c r="I150" s="177"/>
      <c r="J150" s="177"/>
      <c r="K150" s="177"/>
      <c r="L150" s="189"/>
      <c r="M150" s="189"/>
      <c r="N150" s="189"/>
      <c r="O150" s="189"/>
      <c r="P150" s="612">
        <f t="shared" si="12"/>
        <v>0</v>
      </c>
      <c r="Q150" s="613"/>
    </row>
    <row r="151" spans="1:17" ht="45" customHeight="1" hidden="1">
      <c r="A151" s="603"/>
      <c r="B151" s="604"/>
      <c r="C151" s="605"/>
      <c r="D151" s="177"/>
      <c r="E151" s="177"/>
      <c r="F151" s="177"/>
      <c r="G151" s="177"/>
      <c r="H151" s="177"/>
      <c r="I151" s="177"/>
      <c r="J151" s="177"/>
      <c r="K151" s="177"/>
      <c r="L151" s="177"/>
      <c r="M151" s="189"/>
      <c r="N151" s="189"/>
      <c r="O151" s="177"/>
      <c r="P151" s="612">
        <f t="shared" si="12"/>
        <v>0</v>
      </c>
      <c r="Q151" s="613"/>
    </row>
    <row r="152" spans="1:17" ht="48.75" customHeight="1" hidden="1">
      <c r="A152" s="603"/>
      <c r="B152" s="604"/>
      <c r="C152" s="605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89"/>
      <c r="O152" s="177"/>
      <c r="P152" s="612">
        <f t="shared" si="12"/>
        <v>0</v>
      </c>
      <c r="Q152" s="613"/>
    </row>
    <row r="153" ht="15.75" thickBot="1"/>
    <row r="154" spans="1:2" ht="15">
      <c r="A154" s="180" t="s">
        <v>22</v>
      </c>
      <c r="B154" s="181" t="s">
        <v>23</v>
      </c>
    </row>
    <row r="155" ht="15" hidden="1"/>
    <row r="156" spans="1:18" ht="29.25" customHeight="1" hidden="1">
      <c r="A156" s="546"/>
      <c r="B156" s="546"/>
      <c r="C156" s="546"/>
      <c r="D156" s="546"/>
      <c r="E156" s="546"/>
      <c r="F156" s="546"/>
      <c r="G156" s="546"/>
      <c r="H156" s="546"/>
      <c r="I156" s="546"/>
      <c r="J156" s="546"/>
      <c r="K156" s="546"/>
      <c r="L156" s="546"/>
      <c r="M156" s="546"/>
      <c r="N156" s="546"/>
      <c r="O156" s="546"/>
      <c r="P156" s="546"/>
      <c r="Q156" s="546"/>
      <c r="R156" s="546"/>
    </row>
    <row r="157" ht="15" hidden="1"/>
    <row r="158" ht="15" hidden="1"/>
    <row r="159" ht="15" hidden="1"/>
    <row r="160" ht="15" hidden="1"/>
    <row r="161" spans="1:18" ht="15" customHeight="1">
      <c r="A161" s="546" t="s">
        <v>24</v>
      </c>
      <c r="B161" s="546"/>
      <c r="C161" s="546"/>
      <c r="D161" s="546"/>
      <c r="E161" s="546"/>
      <c r="F161" s="546"/>
      <c r="G161" s="546"/>
      <c r="H161" s="546"/>
      <c r="I161" s="546"/>
      <c r="J161" s="546"/>
      <c r="K161" s="546"/>
      <c r="L161" s="546"/>
      <c r="M161" s="546"/>
      <c r="N161" s="546"/>
      <c r="O161" s="546"/>
      <c r="P161" s="546"/>
      <c r="Q161" s="546"/>
      <c r="R161" s="546"/>
    </row>
    <row r="162" spans="1:18" ht="15">
      <c r="A162" s="546"/>
      <c r="B162" s="546"/>
      <c r="C162" s="546"/>
      <c r="D162" s="546"/>
      <c r="E162" s="546"/>
      <c r="F162" s="546"/>
      <c r="G162" s="546"/>
      <c r="H162" s="546"/>
      <c r="I162" s="546"/>
      <c r="J162" s="546"/>
      <c r="K162" s="546"/>
      <c r="L162" s="546"/>
      <c r="M162" s="546"/>
      <c r="N162" s="546"/>
      <c r="O162" s="546"/>
      <c r="P162" s="546"/>
      <c r="Q162" s="546"/>
      <c r="R162" s="546"/>
    </row>
    <row r="163" ht="15" hidden="1"/>
    <row r="164" ht="15" hidden="1"/>
    <row r="165" ht="15">
      <c r="B165" s="148" t="s">
        <v>48</v>
      </c>
    </row>
    <row r="166" ht="15">
      <c r="B166" s="148" t="s">
        <v>49</v>
      </c>
    </row>
    <row r="168" spans="1:18" ht="42.75" customHeight="1">
      <c r="A168" s="190" t="s">
        <v>50</v>
      </c>
      <c r="B168" s="606" t="s">
        <v>51</v>
      </c>
      <c r="C168" s="606"/>
      <c r="D168" s="583" t="s">
        <v>52</v>
      </c>
      <c r="E168" s="584"/>
      <c r="F168" s="606" t="s">
        <v>53</v>
      </c>
      <c r="G168" s="606"/>
      <c r="H168" s="606"/>
      <c r="I168" s="606"/>
      <c r="J168" s="606"/>
      <c r="K168" s="606"/>
      <c r="L168" s="606"/>
      <c r="M168" s="606"/>
      <c r="N168" s="584" t="s">
        <v>54</v>
      </c>
      <c r="O168" s="584"/>
      <c r="P168" s="584"/>
      <c r="Q168" s="584"/>
      <c r="R168" s="585"/>
    </row>
    <row r="169" spans="1:18" ht="27.75" customHeight="1">
      <c r="A169" s="609" t="s">
        <v>55</v>
      </c>
      <c r="B169" s="610"/>
      <c r="C169" s="610"/>
      <c r="D169" s="610"/>
      <c r="E169" s="611"/>
      <c r="F169" s="607" t="s">
        <v>56</v>
      </c>
      <c r="G169" s="608"/>
      <c r="H169" s="607" t="s">
        <v>57</v>
      </c>
      <c r="I169" s="608"/>
      <c r="J169" s="607" t="s">
        <v>58</v>
      </c>
      <c r="K169" s="608"/>
      <c r="L169" s="607" t="s">
        <v>59</v>
      </c>
      <c r="M169" s="608"/>
      <c r="N169" s="607" t="s">
        <v>56</v>
      </c>
      <c r="O169" s="608"/>
      <c r="P169" s="191" t="s">
        <v>57</v>
      </c>
      <c r="Q169" s="191" t="s">
        <v>58</v>
      </c>
      <c r="R169" s="176" t="s">
        <v>59</v>
      </c>
    </row>
    <row r="170" spans="1:18" ht="58.5" customHeight="1">
      <c r="A170" s="508">
        <v>1</v>
      </c>
      <c r="B170" s="597" t="s">
        <v>208</v>
      </c>
      <c r="C170" s="598"/>
      <c r="D170" s="589"/>
      <c r="E170" s="589"/>
      <c r="F170" s="590" t="s">
        <v>431</v>
      </c>
      <c r="G170" s="591"/>
      <c r="H170" s="590" t="s">
        <v>431</v>
      </c>
      <c r="I170" s="591"/>
      <c r="J170" s="590" t="s">
        <v>431</v>
      </c>
      <c r="K170" s="591"/>
      <c r="L170" s="590" t="s">
        <v>431</v>
      </c>
      <c r="M170" s="591"/>
      <c r="N170" s="584"/>
      <c r="O170" s="585"/>
      <c r="P170" s="191"/>
      <c r="Q170" s="191"/>
      <c r="R170" s="176"/>
    </row>
    <row r="171" spans="1:18" ht="30" customHeight="1">
      <c r="A171" s="509">
        <v>2</v>
      </c>
      <c r="B171" s="597" t="s">
        <v>60</v>
      </c>
      <c r="C171" s="598"/>
      <c r="D171" s="601"/>
      <c r="E171" s="602"/>
      <c r="F171" s="580" t="s">
        <v>432</v>
      </c>
      <c r="G171" s="581"/>
      <c r="H171" s="580" t="s">
        <v>432</v>
      </c>
      <c r="I171" s="581"/>
      <c r="J171" s="580" t="s">
        <v>432</v>
      </c>
      <c r="K171" s="581"/>
      <c r="L171" s="580" t="s">
        <v>432</v>
      </c>
      <c r="M171" s="581"/>
      <c r="N171" s="596"/>
      <c r="O171" s="596"/>
      <c r="P171" s="192"/>
      <c r="Q171" s="192"/>
      <c r="R171" s="193"/>
    </row>
    <row r="172" spans="1:18" ht="49.5" customHeight="1">
      <c r="A172" s="509">
        <v>3</v>
      </c>
      <c r="B172" s="597" t="s">
        <v>433</v>
      </c>
      <c r="C172" s="598"/>
      <c r="D172" s="599"/>
      <c r="E172" s="600"/>
      <c r="F172" s="580" t="s">
        <v>70</v>
      </c>
      <c r="G172" s="581"/>
      <c r="H172" s="580" t="s">
        <v>70</v>
      </c>
      <c r="I172" s="581"/>
      <c r="J172" s="580" t="s">
        <v>70</v>
      </c>
      <c r="K172" s="581"/>
      <c r="L172" s="580" t="s">
        <v>70</v>
      </c>
      <c r="M172" s="581"/>
      <c r="N172" s="582"/>
      <c r="O172" s="582"/>
      <c r="P172" s="179"/>
      <c r="Q172" s="179"/>
      <c r="R172" s="194"/>
    </row>
    <row r="173" spans="1:18" ht="49.5" customHeight="1">
      <c r="A173" s="509">
        <v>4</v>
      </c>
      <c r="B173" s="597" t="s">
        <v>434</v>
      </c>
      <c r="C173" s="598"/>
      <c r="D173" s="599"/>
      <c r="E173" s="600"/>
      <c r="F173" s="594" t="s">
        <v>72</v>
      </c>
      <c r="G173" s="595"/>
      <c r="H173" s="594" t="s">
        <v>72</v>
      </c>
      <c r="I173" s="595"/>
      <c r="J173" s="594" t="s">
        <v>72</v>
      </c>
      <c r="K173" s="595"/>
      <c r="L173" s="594" t="s">
        <v>72</v>
      </c>
      <c r="M173" s="595"/>
      <c r="N173" s="506"/>
      <c r="O173" s="507"/>
      <c r="P173" s="179"/>
      <c r="Q173" s="179"/>
      <c r="R173" s="194"/>
    </row>
    <row r="174" spans="1:18" ht="49.5" customHeight="1">
      <c r="A174" s="509">
        <v>5</v>
      </c>
      <c r="B174" s="597" t="s">
        <v>435</v>
      </c>
      <c r="C174" s="598"/>
      <c r="D174" s="599"/>
      <c r="E174" s="600"/>
      <c r="F174" s="594" t="s">
        <v>62</v>
      </c>
      <c r="G174" s="595"/>
      <c r="H174" s="594" t="s">
        <v>62</v>
      </c>
      <c r="I174" s="595"/>
      <c r="J174" s="594" t="s">
        <v>62</v>
      </c>
      <c r="K174" s="595"/>
      <c r="L174" s="594" t="s">
        <v>62</v>
      </c>
      <c r="M174" s="595"/>
      <c r="N174" s="506"/>
      <c r="O174" s="507"/>
      <c r="P174" s="179"/>
      <c r="Q174" s="179"/>
      <c r="R174" s="194"/>
    </row>
    <row r="175" spans="1:18" ht="49.5" customHeight="1">
      <c r="A175" s="509">
        <v>6</v>
      </c>
      <c r="B175" s="597" t="s">
        <v>436</v>
      </c>
      <c r="C175" s="598"/>
      <c r="D175" s="599"/>
      <c r="E175" s="600"/>
      <c r="F175" s="594" t="s">
        <v>64</v>
      </c>
      <c r="G175" s="595"/>
      <c r="H175" s="594" t="s">
        <v>64</v>
      </c>
      <c r="I175" s="595"/>
      <c r="J175" s="594" t="s">
        <v>64</v>
      </c>
      <c r="K175" s="595"/>
      <c r="L175" s="594" t="s">
        <v>64</v>
      </c>
      <c r="M175" s="595"/>
      <c r="N175" s="506"/>
      <c r="O175" s="507"/>
      <c r="P175" s="179"/>
      <c r="Q175" s="179"/>
      <c r="R175" s="194"/>
    </row>
    <row r="176" spans="1:18" ht="57.75" customHeight="1">
      <c r="A176" s="509">
        <v>7</v>
      </c>
      <c r="B176" s="597" t="s">
        <v>437</v>
      </c>
      <c r="C176" s="598"/>
      <c r="D176" s="599"/>
      <c r="E176" s="600"/>
      <c r="F176" s="594" t="s">
        <v>65</v>
      </c>
      <c r="G176" s="595"/>
      <c r="H176" s="594" t="s">
        <v>65</v>
      </c>
      <c r="I176" s="595"/>
      <c r="J176" s="594" t="s">
        <v>65</v>
      </c>
      <c r="K176" s="595"/>
      <c r="L176" s="594" t="s">
        <v>65</v>
      </c>
      <c r="M176" s="595"/>
      <c r="N176" s="506"/>
      <c r="O176" s="507"/>
      <c r="P176" s="179"/>
      <c r="Q176" s="179"/>
      <c r="R176" s="194"/>
    </row>
    <row r="177" spans="1:18" ht="54" customHeight="1">
      <c r="A177" s="509">
        <v>8</v>
      </c>
      <c r="B177" s="587" t="s">
        <v>438</v>
      </c>
      <c r="C177" s="588"/>
      <c r="D177" s="578"/>
      <c r="E177" s="579"/>
      <c r="F177" s="592" t="s">
        <v>431</v>
      </c>
      <c r="G177" s="593"/>
      <c r="H177" s="592" t="s">
        <v>431</v>
      </c>
      <c r="I177" s="593"/>
      <c r="J177" s="592" t="s">
        <v>431</v>
      </c>
      <c r="K177" s="593"/>
      <c r="L177" s="592" t="s">
        <v>431</v>
      </c>
      <c r="M177" s="593"/>
      <c r="N177" s="564"/>
      <c r="O177" s="558"/>
      <c r="P177" s="194"/>
      <c r="Q177" s="194"/>
      <c r="R177" s="194"/>
    </row>
    <row r="180" spans="1:18" ht="30.75" customHeight="1">
      <c r="A180" s="546" t="s">
        <v>24</v>
      </c>
      <c r="B180" s="546"/>
      <c r="C180" s="546"/>
      <c r="D180" s="546"/>
      <c r="E180" s="546"/>
      <c r="F180" s="546"/>
      <c r="G180" s="546"/>
      <c r="H180" s="546"/>
      <c r="I180" s="546"/>
      <c r="J180" s="546"/>
      <c r="K180" s="546"/>
      <c r="L180" s="546"/>
      <c r="M180" s="546"/>
      <c r="N180" s="546"/>
      <c r="O180" s="546"/>
      <c r="P180" s="546"/>
      <c r="Q180" s="546"/>
      <c r="R180" s="546"/>
    </row>
    <row r="183" ht="15">
      <c r="B183" s="148" t="s">
        <v>66</v>
      </c>
    </row>
    <row r="185" spans="1:18" ht="26.25" customHeight="1">
      <c r="A185" s="190" t="s">
        <v>50</v>
      </c>
      <c r="B185" s="583" t="s">
        <v>51</v>
      </c>
      <c r="C185" s="584"/>
      <c r="D185" s="585"/>
      <c r="E185" s="583" t="s">
        <v>52</v>
      </c>
      <c r="F185" s="584"/>
      <c r="G185" s="584"/>
      <c r="H185" s="585"/>
      <c r="I185" s="586" t="s">
        <v>53</v>
      </c>
      <c r="J185" s="586"/>
      <c r="K185" s="586"/>
      <c r="L185" s="586"/>
      <c r="M185" s="586"/>
      <c r="N185" s="586" t="s">
        <v>54</v>
      </c>
      <c r="O185" s="586"/>
      <c r="P185" s="586"/>
      <c r="Q185" s="586"/>
      <c r="R185" s="195"/>
    </row>
    <row r="186" spans="1:17" ht="27" customHeight="1">
      <c r="A186" s="194">
        <v>1</v>
      </c>
      <c r="B186" s="573" t="s">
        <v>67</v>
      </c>
      <c r="C186" s="574"/>
      <c r="D186" s="575"/>
      <c r="E186" s="564"/>
      <c r="F186" s="565"/>
      <c r="G186" s="565"/>
      <c r="H186" s="558"/>
      <c r="I186" s="564" t="s">
        <v>68</v>
      </c>
      <c r="J186" s="565"/>
      <c r="K186" s="565"/>
      <c r="L186" s="565"/>
      <c r="M186" s="558"/>
      <c r="N186" s="564"/>
      <c r="O186" s="565"/>
      <c r="P186" s="565"/>
      <c r="Q186" s="558"/>
    </row>
    <row r="187" spans="1:17" ht="39.75" customHeight="1">
      <c r="A187" s="194">
        <v>2</v>
      </c>
      <c r="B187" s="573" t="s">
        <v>69</v>
      </c>
      <c r="C187" s="574"/>
      <c r="D187" s="575"/>
      <c r="E187" s="564"/>
      <c r="F187" s="565"/>
      <c r="G187" s="565"/>
      <c r="H187" s="558"/>
      <c r="I187" s="564" t="s">
        <v>70</v>
      </c>
      <c r="J187" s="565"/>
      <c r="K187" s="565"/>
      <c r="L187" s="565"/>
      <c r="M187" s="558"/>
      <c r="N187" s="564"/>
      <c r="O187" s="565"/>
      <c r="P187" s="565"/>
      <c r="Q187" s="558"/>
    </row>
    <row r="188" spans="1:17" ht="36" customHeight="1">
      <c r="A188" s="194">
        <v>3</v>
      </c>
      <c r="B188" s="573" t="s">
        <v>71</v>
      </c>
      <c r="C188" s="574"/>
      <c r="D188" s="575"/>
      <c r="E188" s="564"/>
      <c r="F188" s="565"/>
      <c r="G188" s="565"/>
      <c r="H188" s="558"/>
      <c r="I188" s="564" t="s">
        <v>72</v>
      </c>
      <c r="J188" s="565"/>
      <c r="K188" s="565"/>
      <c r="L188" s="565"/>
      <c r="M188" s="558"/>
      <c r="N188" s="564"/>
      <c r="O188" s="565"/>
      <c r="P188" s="565"/>
      <c r="Q188" s="558"/>
    </row>
    <row r="189" spans="1:17" ht="34.5" customHeight="1">
      <c r="A189" s="194">
        <v>4</v>
      </c>
      <c r="B189" s="573" t="s">
        <v>73</v>
      </c>
      <c r="C189" s="574"/>
      <c r="D189" s="575"/>
      <c r="E189" s="564"/>
      <c r="F189" s="565"/>
      <c r="G189" s="565"/>
      <c r="H189" s="558"/>
      <c r="I189" s="564" t="s">
        <v>68</v>
      </c>
      <c r="J189" s="565"/>
      <c r="K189" s="565"/>
      <c r="L189" s="565"/>
      <c r="M189" s="558"/>
      <c r="N189" s="564"/>
      <c r="O189" s="565"/>
      <c r="P189" s="565"/>
      <c r="Q189" s="558"/>
    </row>
    <row r="190" ht="15.75" thickBot="1"/>
    <row r="191" spans="1:2" ht="15">
      <c r="A191" s="180" t="s">
        <v>74</v>
      </c>
      <c r="B191" s="181" t="s">
        <v>75</v>
      </c>
    </row>
    <row r="193" spans="1:18" ht="30.75" customHeight="1">
      <c r="A193" s="546" t="s">
        <v>24</v>
      </c>
      <c r="B193" s="546"/>
      <c r="C193" s="546"/>
      <c r="D193" s="546"/>
      <c r="E193" s="546"/>
      <c r="F193" s="546"/>
      <c r="G193" s="546"/>
      <c r="H193" s="546"/>
      <c r="I193" s="546"/>
      <c r="J193" s="546"/>
      <c r="K193" s="546"/>
      <c r="L193" s="546"/>
      <c r="M193" s="546"/>
      <c r="N193" s="546"/>
      <c r="O193" s="546"/>
      <c r="P193" s="546"/>
      <c r="Q193" s="546"/>
      <c r="R193" s="546"/>
    </row>
    <row r="196" ht="15">
      <c r="B196" s="148" t="s">
        <v>76</v>
      </c>
    </row>
    <row r="198" spans="1:17" ht="30" customHeight="1">
      <c r="A198" s="191" t="s">
        <v>50</v>
      </c>
      <c r="B198" s="547" t="s">
        <v>77</v>
      </c>
      <c r="C198" s="548"/>
      <c r="D198" s="549"/>
      <c r="E198" s="544" t="s">
        <v>78</v>
      </c>
      <c r="F198" s="545"/>
      <c r="G198" s="545"/>
      <c r="H198" s="542"/>
      <c r="I198" s="543" t="s">
        <v>79</v>
      </c>
      <c r="J198" s="543"/>
      <c r="K198" s="543"/>
      <c r="L198" s="543"/>
      <c r="M198" s="543"/>
      <c r="N198" s="543" t="s">
        <v>80</v>
      </c>
      <c r="O198" s="543"/>
      <c r="P198" s="543"/>
      <c r="Q198" s="543"/>
    </row>
    <row r="199" spans="1:17" ht="70.5" customHeight="1">
      <c r="A199" s="194">
        <v>1</v>
      </c>
      <c r="B199" s="573" t="s">
        <v>81</v>
      </c>
      <c r="C199" s="574"/>
      <c r="D199" s="575"/>
      <c r="E199" s="564">
        <v>2015</v>
      </c>
      <c r="F199" s="565"/>
      <c r="G199" s="565"/>
      <c r="H199" s="558"/>
      <c r="I199" s="555">
        <f>P94+P139</f>
        <v>24850306.79</v>
      </c>
      <c r="J199" s="556"/>
      <c r="K199" s="556"/>
      <c r="L199" s="556"/>
      <c r="M199" s="557"/>
      <c r="N199" s="564">
        <f>P73</f>
        <v>342</v>
      </c>
      <c r="O199" s="565"/>
      <c r="P199" s="565"/>
      <c r="Q199" s="558"/>
    </row>
    <row r="200" spans="1:17" ht="15" customHeight="1" hidden="1">
      <c r="A200" s="194"/>
      <c r="B200" s="564"/>
      <c r="C200" s="565"/>
      <c r="D200" s="558"/>
      <c r="E200" s="564"/>
      <c r="F200" s="565"/>
      <c r="G200" s="565"/>
      <c r="H200" s="558"/>
      <c r="I200" s="564"/>
      <c r="J200" s="565"/>
      <c r="K200" s="565"/>
      <c r="L200" s="565"/>
      <c r="M200" s="558"/>
      <c r="N200" s="564"/>
      <c r="O200" s="565"/>
      <c r="P200" s="565"/>
      <c r="Q200" s="558"/>
    </row>
    <row r="201" spans="1:17" ht="15" customHeight="1" hidden="1">
      <c r="A201" s="194"/>
      <c r="B201" s="564"/>
      <c r="C201" s="565"/>
      <c r="D201" s="558"/>
      <c r="E201" s="564"/>
      <c r="F201" s="565"/>
      <c r="G201" s="565"/>
      <c r="H201" s="558"/>
      <c r="I201" s="564"/>
      <c r="J201" s="565"/>
      <c r="K201" s="565"/>
      <c r="L201" s="565"/>
      <c r="M201" s="558"/>
      <c r="N201" s="564"/>
      <c r="O201" s="565"/>
      <c r="P201" s="565"/>
      <c r="Q201" s="558"/>
    </row>
    <row r="202" ht="15.75" thickBot="1"/>
    <row r="203" spans="1:18" ht="15" customHeight="1">
      <c r="A203" s="196" t="s">
        <v>82</v>
      </c>
      <c r="B203" s="197" t="s">
        <v>83</v>
      </c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</row>
    <row r="204" ht="13.5" customHeight="1">
      <c r="A204" s="148" t="s">
        <v>84</v>
      </c>
    </row>
    <row r="205" ht="14.25" customHeight="1">
      <c r="A205" s="148" t="s">
        <v>85</v>
      </c>
    </row>
    <row r="208" ht="15">
      <c r="B208" s="148" t="s">
        <v>86</v>
      </c>
    </row>
    <row r="210" spans="1:18" ht="61.5" customHeight="1">
      <c r="A210" s="567" t="s">
        <v>87</v>
      </c>
      <c r="B210" s="568"/>
      <c r="C210" s="568"/>
      <c r="D210" s="568"/>
      <c r="E210" s="568"/>
      <c r="F210" s="568"/>
      <c r="G210" s="568"/>
      <c r="H210" s="568"/>
      <c r="I210" s="568"/>
      <c r="J210" s="568"/>
      <c r="K210" s="568"/>
      <c r="L210" s="568"/>
      <c r="M210" s="568"/>
      <c r="N210" s="568"/>
      <c r="O210" s="568"/>
      <c r="P210" s="568"/>
      <c r="Q210" s="569"/>
      <c r="R210" s="199"/>
    </row>
    <row r="211" ht="8.25" customHeight="1"/>
    <row r="212" ht="6.75" customHeight="1"/>
    <row r="213" ht="15">
      <c r="B213" s="148" t="s">
        <v>88</v>
      </c>
    </row>
    <row r="215" spans="1:17" ht="15">
      <c r="A215" s="570">
        <f>P94/P73</f>
        <v>60664.16959064327</v>
      </c>
      <c r="B215" s="571"/>
      <c r="C215" s="571"/>
      <c r="D215" s="571"/>
      <c r="E215" s="571"/>
      <c r="F215" s="571"/>
      <c r="G215" s="571"/>
      <c r="H215" s="571"/>
      <c r="I215" s="571"/>
      <c r="J215" s="571"/>
      <c r="K215" s="571"/>
      <c r="L215" s="571"/>
      <c r="M215" s="571"/>
      <c r="N215" s="571"/>
      <c r="O215" s="571"/>
      <c r="P215" s="571"/>
      <c r="Q215" s="572"/>
    </row>
    <row r="218" ht="15">
      <c r="B218" s="148" t="s">
        <v>89</v>
      </c>
    </row>
    <row r="220" spans="1:17" ht="30.75" customHeight="1">
      <c r="A220" s="567" t="s">
        <v>90</v>
      </c>
      <c r="B220" s="568"/>
      <c r="C220" s="568"/>
      <c r="D220" s="568"/>
      <c r="E220" s="568"/>
      <c r="F220" s="568"/>
      <c r="G220" s="568"/>
      <c r="H220" s="568"/>
      <c r="I220" s="568"/>
      <c r="J220" s="568"/>
      <c r="K220" s="568"/>
      <c r="L220" s="568"/>
      <c r="M220" s="568"/>
      <c r="N220" s="568"/>
      <c r="O220" s="568"/>
      <c r="P220" s="568"/>
      <c r="Q220" s="569"/>
    </row>
    <row r="223" ht="15">
      <c r="B223" s="148" t="s">
        <v>91</v>
      </c>
    </row>
    <row r="224" ht="9" customHeight="1"/>
    <row r="225" spans="1:17" ht="86.25" customHeight="1">
      <c r="A225" s="573" t="s">
        <v>92</v>
      </c>
      <c r="B225" s="574"/>
      <c r="C225" s="574"/>
      <c r="D225" s="574"/>
      <c r="E225" s="574"/>
      <c r="F225" s="574"/>
      <c r="G225" s="574"/>
      <c r="H225" s="574"/>
      <c r="I225" s="574"/>
      <c r="J225" s="574"/>
      <c r="K225" s="574"/>
      <c r="L225" s="574"/>
      <c r="M225" s="574"/>
      <c r="N225" s="574"/>
      <c r="O225" s="574"/>
      <c r="P225" s="574"/>
      <c r="Q225" s="575"/>
    </row>
    <row r="226" spans="1:17" ht="9" customHeight="1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</row>
    <row r="227" spans="1:17" ht="15">
      <c r="A227" s="200"/>
      <c r="B227" s="200" t="s">
        <v>93</v>
      </c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</row>
    <row r="228" spans="1:17" ht="9" customHeight="1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</row>
    <row r="229" spans="1:17" ht="35.25" customHeight="1">
      <c r="A229" s="576" t="s">
        <v>94</v>
      </c>
      <c r="B229" s="577"/>
      <c r="C229" s="577"/>
      <c r="D229" s="577"/>
      <c r="E229" s="577"/>
      <c r="F229" s="577"/>
      <c r="G229" s="577"/>
      <c r="H229" s="577"/>
      <c r="I229" s="577"/>
      <c r="J229" s="577"/>
      <c r="K229" s="577"/>
      <c r="L229" s="577"/>
      <c r="M229" s="577"/>
      <c r="N229" s="577"/>
      <c r="O229" s="577"/>
      <c r="P229" s="577"/>
      <c r="Q229" s="560"/>
    </row>
    <row r="230" spans="1:17" ht="15">
      <c r="A230" s="201" t="s">
        <v>95</v>
      </c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3"/>
    </row>
    <row r="231" spans="1:17" ht="24.75" customHeight="1">
      <c r="A231" s="552" t="s">
        <v>96</v>
      </c>
      <c r="B231" s="553"/>
      <c r="C231" s="553"/>
      <c r="D231" s="553"/>
      <c r="E231" s="553"/>
      <c r="F231" s="553"/>
      <c r="G231" s="553"/>
      <c r="H231" s="553"/>
      <c r="I231" s="553"/>
      <c r="J231" s="553"/>
      <c r="K231" s="553"/>
      <c r="L231" s="553"/>
      <c r="M231" s="553"/>
      <c r="N231" s="553"/>
      <c r="O231" s="553"/>
      <c r="P231" s="553"/>
      <c r="Q231" s="554"/>
    </row>
    <row r="232" spans="1:17" ht="15">
      <c r="A232" s="559" t="s">
        <v>97</v>
      </c>
      <c r="B232" s="550"/>
      <c r="C232" s="550"/>
      <c r="D232" s="550"/>
      <c r="E232" s="550"/>
      <c r="F232" s="550"/>
      <c r="G232" s="550"/>
      <c r="H232" s="550"/>
      <c r="I232" s="550"/>
      <c r="J232" s="550"/>
      <c r="K232" s="550"/>
      <c r="L232" s="550"/>
      <c r="M232" s="550"/>
      <c r="N232" s="550"/>
      <c r="O232" s="550"/>
      <c r="P232" s="550"/>
      <c r="Q232" s="551"/>
    </row>
    <row r="233" spans="1:17" ht="15">
      <c r="A233" s="204" t="s">
        <v>98</v>
      </c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6"/>
    </row>
    <row r="234" spans="1:17" ht="15">
      <c r="A234" s="207" t="s">
        <v>99</v>
      </c>
      <c r="B234" s="208"/>
      <c r="C234" s="208"/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9"/>
    </row>
    <row r="236" spans="2:14" ht="15">
      <c r="B236" s="566" t="s">
        <v>100</v>
      </c>
      <c r="C236" s="566"/>
      <c r="D236" s="566"/>
      <c r="E236" s="566"/>
      <c r="I236" s="208" t="s">
        <v>197</v>
      </c>
      <c r="J236" s="208"/>
      <c r="K236" s="561"/>
      <c r="L236" s="561"/>
      <c r="M236" s="561"/>
      <c r="N236" s="148" t="s">
        <v>101</v>
      </c>
    </row>
    <row r="238" spans="2:8" ht="15">
      <c r="B238" s="148" t="s">
        <v>102</v>
      </c>
      <c r="C238" s="208"/>
      <c r="E238" s="210" t="s">
        <v>103</v>
      </c>
      <c r="F238" s="208"/>
      <c r="G238" s="208"/>
      <c r="H238" s="208"/>
    </row>
    <row r="241" spans="2:14" ht="15">
      <c r="B241" s="566" t="s">
        <v>232</v>
      </c>
      <c r="C241" s="566"/>
      <c r="D241" s="566"/>
      <c r="E241" s="566"/>
      <c r="I241" s="443" t="s">
        <v>220</v>
      </c>
      <c r="J241" s="208"/>
      <c r="K241" s="379"/>
      <c r="L241" s="379"/>
      <c r="M241" s="379"/>
      <c r="N241" s="148" t="s">
        <v>101</v>
      </c>
    </row>
    <row r="243" spans="2:8" ht="15">
      <c r="B243" s="148" t="s">
        <v>102</v>
      </c>
      <c r="C243" s="442"/>
      <c r="E243" s="210" t="s">
        <v>103</v>
      </c>
      <c r="F243" s="208"/>
      <c r="G243" s="208"/>
      <c r="H243" s="208"/>
    </row>
  </sheetData>
  <sheetProtection/>
  <mergeCells count="271">
    <mergeCell ref="J173:K173"/>
    <mergeCell ref="L173:M173"/>
    <mergeCell ref="H176:I176"/>
    <mergeCell ref="H174:I174"/>
    <mergeCell ref="J176:K176"/>
    <mergeCell ref="L176:M176"/>
    <mergeCell ref="H175:I175"/>
    <mergeCell ref="J175:K175"/>
    <mergeCell ref="L175:M175"/>
    <mergeCell ref="B176:C176"/>
    <mergeCell ref="D176:E176"/>
    <mergeCell ref="F176:G176"/>
    <mergeCell ref="L174:M174"/>
    <mergeCell ref="B175:C175"/>
    <mergeCell ref="D175:E175"/>
    <mergeCell ref="F175:G175"/>
    <mergeCell ref="A12:R12"/>
    <mergeCell ref="A13:R13"/>
    <mergeCell ref="A14:R14"/>
    <mergeCell ref="H17:Q17"/>
    <mergeCell ref="Q21:R21"/>
    <mergeCell ref="B174:C174"/>
    <mergeCell ref="D174:E174"/>
    <mergeCell ref="F174:G174"/>
    <mergeCell ref="J22:K34"/>
    <mergeCell ref="D21:E21"/>
    <mergeCell ref="F21:G21"/>
    <mergeCell ref="B173:C173"/>
    <mergeCell ref="D173:E173"/>
    <mergeCell ref="F173:G173"/>
    <mergeCell ref="H21:I21"/>
    <mergeCell ref="J21:K21"/>
    <mergeCell ref="N41:O41"/>
    <mergeCell ref="L21:M21"/>
    <mergeCell ref="N21:O21"/>
    <mergeCell ref="P22:P34"/>
    <mergeCell ref="A22:A34"/>
    <mergeCell ref="B22:B34"/>
    <mergeCell ref="C22:C34"/>
    <mergeCell ref="D22:E34"/>
    <mergeCell ref="F22:G34"/>
    <mergeCell ref="H22:I34"/>
    <mergeCell ref="D41:E41"/>
    <mergeCell ref="F41:G41"/>
    <mergeCell ref="Q22:R34"/>
    <mergeCell ref="A39:B41"/>
    <mergeCell ref="C39:C41"/>
    <mergeCell ref="D39:R39"/>
    <mergeCell ref="D40:I40"/>
    <mergeCell ref="J40:O40"/>
    <mergeCell ref="P40:R40"/>
    <mergeCell ref="J41:K41"/>
    <mergeCell ref="H42:I42"/>
    <mergeCell ref="N22:O34"/>
    <mergeCell ref="L22:M34"/>
    <mergeCell ref="L41:M41"/>
    <mergeCell ref="H41:I41"/>
    <mergeCell ref="L42:M42"/>
    <mergeCell ref="D46:E46"/>
    <mergeCell ref="F46:G46"/>
    <mergeCell ref="D45:E45"/>
    <mergeCell ref="D42:E42"/>
    <mergeCell ref="F42:G42"/>
    <mergeCell ref="D49:E49"/>
    <mergeCell ref="F49:G49"/>
    <mergeCell ref="N42:O42"/>
    <mergeCell ref="D43:E43"/>
    <mergeCell ref="F43:G43"/>
    <mergeCell ref="D44:E44"/>
    <mergeCell ref="F44:G44"/>
    <mergeCell ref="D47:E47"/>
    <mergeCell ref="J42:K42"/>
    <mergeCell ref="F45:G45"/>
    <mergeCell ref="F57:G57"/>
    <mergeCell ref="F47:G47"/>
    <mergeCell ref="D48:E48"/>
    <mergeCell ref="F48:G48"/>
    <mergeCell ref="D55:E55"/>
    <mergeCell ref="F55:G55"/>
    <mergeCell ref="D50:E50"/>
    <mergeCell ref="F50:G50"/>
    <mergeCell ref="D51:E51"/>
    <mergeCell ref="F51:G51"/>
    <mergeCell ref="D59:E59"/>
    <mergeCell ref="F59:G59"/>
    <mergeCell ref="D60:E60"/>
    <mergeCell ref="F60:G60"/>
    <mergeCell ref="F52:G52"/>
    <mergeCell ref="D53:E53"/>
    <mergeCell ref="F53:G53"/>
    <mergeCell ref="D54:E54"/>
    <mergeCell ref="F54:G54"/>
    <mergeCell ref="D52:E52"/>
    <mergeCell ref="D57:E57"/>
    <mergeCell ref="A76:C76"/>
    <mergeCell ref="P76:Q76"/>
    <mergeCell ref="D62:E62"/>
    <mergeCell ref="F62:G62"/>
    <mergeCell ref="A71:C72"/>
    <mergeCell ref="D71:O71"/>
    <mergeCell ref="P71:Q72"/>
    <mergeCell ref="A73:C73"/>
    <mergeCell ref="P73:Q73"/>
    <mergeCell ref="A42:B63"/>
    <mergeCell ref="A74:C74"/>
    <mergeCell ref="P74:Q74"/>
    <mergeCell ref="D61:E61"/>
    <mergeCell ref="F61:G61"/>
    <mergeCell ref="D56:E56"/>
    <mergeCell ref="F56:G56"/>
    <mergeCell ref="D58:E58"/>
    <mergeCell ref="F58:G58"/>
    <mergeCell ref="C42:C63"/>
    <mergeCell ref="A75:C75"/>
    <mergeCell ref="P75:Q75"/>
    <mergeCell ref="P107:Q107"/>
    <mergeCell ref="A85:R85"/>
    <mergeCell ref="A92:C93"/>
    <mergeCell ref="D92:O92"/>
    <mergeCell ref="P92:Q93"/>
    <mergeCell ref="A94:C94"/>
    <mergeCell ref="P94:Q94"/>
    <mergeCell ref="A86:R87"/>
    <mergeCell ref="A111:B112"/>
    <mergeCell ref="P111:Q111"/>
    <mergeCell ref="P112:Q112"/>
    <mergeCell ref="A107:B108"/>
    <mergeCell ref="P108:Q108"/>
    <mergeCell ref="A99:R99"/>
    <mergeCell ref="A105:B106"/>
    <mergeCell ref="C105:C106"/>
    <mergeCell ref="D105:O105"/>
    <mergeCell ref="P105:Q106"/>
    <mergeCell ref="A132:R132"/>
    <mergeCell ref="A113:B114"/>
    <mergeCell ref="P113:Q113"/>
    <mergeCell ref="P114:Q114"/>
    <mergeCell ref="A115:B115"/>
    <mergeCell ref="P115:Q115"/>
    <mergeCell ref="A120:R120"/>
    <mergeCell ref="A125:C126"/>
    <mergeCell ref="D125:O125"/>
    <mergeCell ref="P125:Q126"/>
    <mergeCell ref="A140:C140"/>
    <mergeCell ref="P140:Q140"/>
    <mergeCell ref="A141:C141"/>
    <mergeCell ref="P141:Q141"/>
    <mergeCell ref="A127:C127"/>
    <mergeCell ref="P127:Q127"/>
    <mergeCell ref="A128:C128"/>
    <mergeCell ref="P128:Q128"/>
    <mergeCell ref="P149:Q149"/>
    <mergeCell ref="A149:C149"/>
    <mergeCell ref="A142:C142"/>
    <mergeCell ref="P142:Q142"/>
    <mergeCell ref="A143:C143"/>
    <mergeCell ref="P143:Q143"/>
    <mergeCell ref="A144:C144"/>
    <mergeCell ref="P144:Q144"/>
    <mergeCell ref="A145:C145"/>
    <mergeCell ref="P145:Q145"/>
    <mergeCell ref="A137:C138"/>
    <mergeCell ref="D137:O137"/>
    <mergeCell ref="P137:Q138"/>
    <mergeCell ref="A139:C139"/>
    <mergeCell ref="P139:Q139"/>
    <mergeCell ref="P150:Q150"/>
    <mergeCell ref="A156:R156"/>
    <mergeCell ref="A146:C146"/>
    <mergeCell ref="P146:Q146"/>
    <mergeCell ref="A147:C147"/>
    <mergeCell ref="P147:Q147"/>
    <mergeCell ref="A148:C148"/>
    <mergeCell ref="P148:Q148"/>
    <mergeCell ref="P151:Q151"/>
    <mergeCell ref="P152:Q152"/>
    <mergeCell ref="H169:I169"/>
    <mergeCell ref="D168:E168"/>
    <mergeCell ref="F168:M168"/>
    <mergeCell ref="N168:R168"/>
    <mergeCell ref="A150:C150"/>
    <mergeCell ref="A151:C151"/>
    <mergeCell ref="B168:C168"/>
    <mergeCell ref="N169:O169"/>
    <mergeCell ref="A152:C152"/>
    <mergeCell ref="J169:K169"/>
    <mergeCell ref="L169:M169"/>
    <mergeCell ref="A161:R162"/>
    <mergeCell ref="A169:E169"/>
    <mergeCell ref="F169:G169"/>
    <mergeCell ref="N170:O170"/>
    <mergeCell ref="B171:C171"/>
    <mergeCell ref="D171:E171"/>
    <mergeCell ref="F171:G171"/>
    <mergeCell ref="H171:I171"/>
    <mergeCell ref="J171:K171"/>
    <mergeCell ref="L171:M171"/>
    <mergeCell ref="B170:C170"/>
    <mergeCell ref="L170:M170"/>
    <mergeCell ref="N171:O171"/>
    <mergeCell ref="B172:C172"/>
    <mergeCell ref="D172:E172"/>
    <mergeCell ref="F172:G172"/>
    <mergeCell ref="H172:I172"/>
    <mergeCell ref="J172:K172"/>
    <mergeCell ref="D170:E170"/>
    <mergeCell ref="F170:G170"/>
    <mergeCell ref="J177:K177"/>
    <mergeCell ref="L177:M177"/>
    <mergeCell ref="H170:I170"/>
    <mergeCell ref="J170:K170"/>
    <mergeCell ref="F177:G177"/>
    <mergeCell ref="H177:I177"/>
    <mergeCell ref="J174:K174"/>
    <mergeCell ref="H173:I173"/>
    <mergeCell ref="N186:Q186"/>
    <mergeCell ref="L172:M172"/>
    <mergeCell ref="N172:O172"/>
    <mergeCell ref="N177:O177"/>
    <mergeCell ref="A180:R180"/>
    <mergeCell ref="B185:D185"/>
    <mergeCell ref="E185:H185"/>
    <mergeCell ref="I185:M185"/>
    <mergeCell ref="N185:Q185"/>
    <mergeCell ref="B177:C177"/>
    <mergeCell ref="B186:D186"/>
    <mergeCell ref="E186:H186"/>
    <mergeCell ref="I186:M186"/>
    <mergeCell ref="D177:E177"/>
    <mergeCell ref="B188:D188"/>
    <mergeCell ref="E188:H188"/>
    <mergeCell ref="I188:M188"/>
    <mergeCell ref="N188:Q188"/>
    <mergeCell ref="B187:D187"/>
    <mergeCell ref="E187:H187"/>
    <mergeCell ref="I187:M187"/>
    <mergeCell ref="N187:Q187"/>
    <mergeCell ref="A193:R193"/>
    <mergeCell ref="B198:D198"/>
    <mergeCell ref="E198:H198"/>
    <mergeCell ref="I198:M198"/>
    <mergeCell ref="N198:Q198"/>
    <mergeCell ref="B189:D189"/>
    <mergeCell ref="E189:H189"/>
    <mergeCell ref="I189:M189"/>
    <mergeCell ref="N189:Q189"/>
    <mergeCell ref="N199:Q199"/>
    <mergeCell ref="B200:D200"/>
    <mergeCell ref="E200:H200"/>
    <mergeCell ref="I200:M200"/>
    <mergeCell ref="N200:Q200"/>
    <mergeCell ref="A109:B110"/>
    <mergeCell ref="P109:Q109"/>
    <mergeCell ref="P110:Q110"/>
    <mergeCell ref="N201:Q201"/>
    <mergeCell ref="B201:D201"/>
    <mergeCell ref="E201:H201"/>
    <mergeCell ref="I201:M201"/>
    <mergeCell ref="B199:D199"/>
    <mergeCell ref="E199:H199"/>
    <mergeCell ref="I199:M199"/>
    <mergeCell ref="B241:E241"/>
    <mergeCell ref="A210:Q210"/>
    <mergeCell ref="A215:Q215"/>
    <mergeCell ref="A220:Q220"/>
    <mergeCell ref="A225:Q225"/>
    <mergeCell ref="A229:Q229"/>
    <mergeCell ref="B236:E236"/>
    <mergeCell ref="K236:M236"/>
    <mergeCell ref="A232:Q232"/>
    <mergeCell ref="A231:Q231"/>
  </mergeCells>
  <printOptions/>
  <pageMargins left="0.4724409448818898" right="0.1968503937007874" top="0.1968503937007874" bottom="0.15748031496062992" header="0.15748031496062992" footer="0.15748031496062992"/>
  <pageSetup horizontalDpi="600" verticalDpi="600" orientation="landscape" paperSize="9" scale="90" r:id="rId1"/>
  <rowBreaks count="9" manualBreakCount="9">
    <brk id="28" max="18" man="1"/>
    <brk id="36" max="18" man="1"/>
    <brk id="56" max="18" man="1"/>
    <brk id="85" max="18" man="1"/>
    <brk id="111" max="18" man="1"/>
    <brk id="134" max="18" man="1"/>
    <brk id="152" max="18" man="1"/>
    <brk id="181" max="18" man="1"/>
    <brk id="212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60" zoomScalePageLayoutView="0" workbookViewId="0" topLeftCell="A1">
      <pane xSplit="2" ySplit="3" topLeftCell="C4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Q23" sqref="Q23"/>
    </sheetView>
  </sheetViews>
  <sheetFormatPr defaultColWidth="9.00390625" defaultRowHeight="12.75"/>
  <cols>
    <col min="1" max="1" width="28.00390625" style="261" customWidth="1"/>
    <col min="2" max="2" width="6.625" style="261" customWidth="1"/>
    <col min="3" max="9" width="13.125" style="261" bestFit="1" customWidth="1"/>
    <col min="10" max="11" width="14.00390625" style="261" bestFit="1" customWidth="1"/>
    <col min="12" max="12" width="13.25390625" style="261" bestFit="1" customWidth="1"/>
    <col min="13" max="18" width="14.00390625" style="261" bestFit="1" customWidth="1"/>
    <col min="19" max="19" width="15.25390625" style="261" bestFit="1" customWidth="1"/>
    <col min="20" max="20" width="15.875" style="261" bestFit="1" customWidth="1"/>
    <col min="21" max="21" width="15.125" style="261" bestFit="1" customWidth="1"/>
    <col min="22" max="16384" width="9.125" style="261" customWidth="1"/>
  </cols>
  <sheetData>
    <row r="1" spans="1:19" ht="15">
      <c r="A1" s="712" t="s">
        <v>173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</row>
    <row r="2" spans="1:19" ht="15">
      <c r="A2" s="311"/>
      <c r="B2" s="713" t="s">
        <v>310</v>
      </c>
      <c r="C2" s="713" t="s">
        <v>379</v>
      </c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4"/>
      <c r="S2" s="312"/>
    </row>
    <row r="3" spans="1:19" ht="15">
      <c r="A3" s="311"/>
      <c r="B3" s="713"/>
      <c r="C3" s="311">
        <v>1</v>
      </c>
      <c r="D3" s="311">
        <v>2</v>
      </c>
      <c r="E3" s="311">
        <v>3</v>
      </c>
      <c r="F3" s="311" t="s">
        <v>378</v>
      </c>
      <c r="G3" s="311">
        <v>4</v>
      </c>
      <c r="H3" s="311">
        <v>5</v>
      </c>
      <c r="I3" s="311">
        <v>6</v>
      </c>
      <c r="J3" s="311" t="s">
        <v>377</v>
      </c>
      <c r="K3" s="311">
        <v>7</v>
      </c>
      <c r="L3" s="311">
        <v>8</v>
      </c>
      <c r="M3" s="311">
        <v>9</v>
      </c>
      <c r="N3" s="311" t="s">
        <v>376</v>
      </c>
      <c r="O3" s="311">
        <v>10</v>
      </c>
      <c r="P3" s="311">
        <v>11</v>
      </c>
      <c r="Q3" s="311">
        <v>12</v>
      </c>
      <c r="R3" s="311" t="s">
        <v>375</v>
      </c>
      <c r="S3" s="311"/>
    </row>
    <row r="4" spans="1:21" ht="15">
      <c r="A4" s="311"/>
      <c r="B4" s="313">
        <v>211</v>
      </c>
      <c r="C4" s="330">
        <v>359736.82</v>
      </c>
      <c r="D4" s="330">
        <v>911843.5</v>
      </c>
      <c r="E4" s="330">
        <v>1031605</v>
      </c>
      <c r="F4" s="330">
        <f>C4+D4+E4</f>
        <v>2303185.3200000003</v>
      </c>
      <c r="G4" s="330">
        <v>1507009</v>
      </c>
      <c r="H4" s="330">
        <v>1242021</v>
      </c>
      <c r="I4" s="330">
        <v>845205.82</v>
      </c>
      <c r="J4" s="330">
        <f>G4+H4+I4</f>
        <v>3594235.82</v>
      </c>
      <c r="K4" s="330">
        <v>973351.35</v>
      </c>
      <c r="L4" s="330">
        <v>553596.65</v>
      </c>
      <c r="M4" s="330">
        <v>919218.86</v>
      </c>
      <c r="N4" s="330"/>
      <c r="O4" s="330">
        <f>R4-P4-Q4</f>
        <v>0</v>
      </c>
      <c r="P4" s="330"/>
      <c r="Q4" s="330"/>
      <c r="R4" s="330"/>
      <c r="S4" s="330">
        <f>S5+S6</f>
        <v>8343588</v>
      </c>
      <c r="T4" s="314">
        <f>проверка!C7</f>
        <v>13687402.996242134</v>
      </c>
      <c r="U4" s="314">
        <f>T4-S4</f>
        <v>5343814.996242134</v>
      </c>
    </row>
    <row r="5" spans="1:21" s="223" customFormat="1" ht="45">
      <c r="A5" s="307" t="s">
        <v>374</v>
      </c>
      <c r="B5" s="315">
        <v>211</v>
      </c>
      <c r="C5" s="331">
        <v>259858</v>
      </c>
      <c r="D5" s="331">
        <v>649645</v>
      </c>
      <c r="E5" s="331">
        <f>D5</f>
        <v>649645</v>
      </c>
      <c r="F5" s="332">
        <f>SUM(C5:E5)</f>
        <v>1559148</v>
      </c>
      <c r="G5" s="331">
        <f>ROUND(E5*1.6,0)-400000-205000</f>
        <v>434432</v>
      </c>
      <c r="H5" s="331">
        <f>E5*2-400000-79837.69+250000-400000</f>
        <v>669452.31</v>
      </c>
      <c r="I5" s="331">
        <f>ROUND(E5*0.6,0)-250000+76085</f>
        <v>215872</v>
      </c>
      <c r="J5" s="333">
        <f>SUM(G5:I5)</f>
        <v>1319756.31</v>
      </c>
      <c r="K5" s="331">
        <v>371469</v>
      </c>
      <c r="L5" s="331">
        <v>249446</v>
      </c>
      <c r="M5" s="331">
        <v>315420</v>
      </c>
      <c r="N5" s="331">
        <f aca="true" t="shared" si="0" ref="N5:N10">SUM(K5:M5)</f>
        <v>936335</v>
      </c>
      <c r="O5" s="331"/>
      <c r="P5" s="331"/>
      <c r="Q5" s="331"/>
      <c r="R5" s="331">
        <f>SUM(O5:Q5)</f>
        <v>0</v>
      </c>
      <c r="S5" s="334">
        <f aca="true" t="shared" si="1" ref="S5:S10">R5+N5+J5+F5</f>
        <v>3815239.31</v>
      </c>
      <c r="T5" s="317">
        <f>'свод '!F16</f>
        <v>6874000.56</v>
      </c>
      <c r="U5" s="314">
        <f aca="true" t="shared" si="2" ref="U5:U20">T5-S5</f>
        <v>3058761.2499999995</v>
      </c>
    </row>
    <row r="6" spans="1:21" ht="45">
      <c r="A6" s="307" t="s">
        <v>289</v>
      </c>
      <c r="B6" s="318">
        <v>211</v>
      </c>
      <c r="C6" s="334">
        <f>C4-C5</f>
        <v>99878.82</v>
      </c>
      <c r="D6" s="334">
        <f>D4-D5</f>
        <v>262198.5</v>
      </c>
      <c r="E6" s="334">
        <f>E4-E5</f>
        <v>381960</v>
      </c>
      <c r="F6" s="332">
        <f>SUM(C6:E6)</f>
        <v>744037.3200000001</v>
      </c>
      <c r="G6" s="334">
        <f>G4-G5</f>
        <v>1072577</v>
      </c>
      <c r="H6" s="334">
        <f>H4-H5</f>
        <v>572568.69</v>
      </c>
      <c r="I6" s="334">
        <f>I4-I5</f>
        <v>629333.82</v>
      </c>
      <c r="J6" s="333">
        <f>SUM(G6:I6)</f>
        <v>2274479.51</v>
      </c>
      <c r="K6" s="334">
        <f>K4-K5</f>
        <v>601882.35</v>
      </c>
      <c r="L6" s="334">
        <f>L4-L5</f>
        <v>304150.65</v>
      </c>
      <c r="M6" s="334">
        <f>M4-M5</f>
        <v>603798.86</v>
      </c>
      <c r="N6" s="331">
        <f t="shared" si="0"/>
        <v>1509831.8599999999</v>
      </c>
      <c r="O6" s="334"/>
      <c r="P6" s="334"/>
      <c r="Q6" s="334"/>
      <c r="R6" s="331">
        <f>SUM(O6:Q6)</f>
        <v>0</v>
      </c>
      <c r="S6" s="334">
        <f t="shared" si="1"/>
        <v>4528348.6899999995</v>
      </c>
      <c r="T6" s="314">
        <f>'свод '!F36</f>
        <v>6813402.436242134</v>
      </c>
      <c r="U6" s="314">
        <f t="shared" si="2"/>
        <v>2285053.746242135</v>
      </c>
    </row>
    <row r="7" spans="1:21" ht="56.25">
      <c r="A7" s="307" t="s">
        <v>373</v>
      </c>
      <c r="B7" s="318">
        <v>213</v>
      </c>
      <c r="C7" s="334">
        <v>78477</v>
      </c>
      <c r="D7" s="334">
        <v>196193</v>
      </c>
      <c r="E7" s="334">
        <v>196193</v>
      </c>
      <c r="F7" s="332">
        <f>SUM(C7:E7)</f>
        <v>470863</v>
      </c>
      <c r="G7" s="334">
        <v>132518</v>
      </c>
      <c r="H7" s="334">
        <v>57018</v>
      </c>
      <c r="I7" s="334">
        <v>136344.38</v>
      </c>
      <c r="J7" s="333">
        <f>SUM(G7:I7)</f>
        <v>325880.38</v>
      </c>
      <c r="K7" s="334">
        <v>82581</v>
      </c>
      <c r="L7" s="334">
        <v>62048</v>
      </c>
      <c r="M7" s="334">
        <v>147429.53</v>
      </c>
      <c r="N7" s="331">
        <f t="shared" si="0"/>
        <v>292058.53</v>
      </c>
      <c r="O7" s="334"/>
      <c r="P7" s="334"/>
      <c r="Q7" s="334"/>
      <c r="R7" s="331">
        <f>SUM(O7:Q7)</f>
        <v>0</v>
      </c>
      <c r="S7" s="334">
        <f t="shared" si="1"/>
        <v>1088801.9100000001</v>
      </c>
      <c r="T7" s="314">
        <f>'свод '!F17</f>
        <v>2075948.17</v>
      </c>
      <c r="U7" s="314">
        <f t="shared" si="2"/>
        <v>987146.2599999998</v>
      </c>
    </row>
    <row r="8" spans="1:21" s="251" customFormat="1" ht="56.25">
      <c r="A8" s="308" t="s">
        <v>166</v>
      </c>
      <c r="B8" s="319">
        <v>213</v>
      </c>
      <c r="C8" s="334">
        <f>C9-C7</f>
        <v>163518.07</v>
      </c>
      <c r="D8" s="334">
        <f>D9-D7</f>
        <v>96748</v>
      </c>
      <c r="E8" s="334">
        <f>E9-E7</f>
        <v>35391.84</v>
      </c>
      <c r="F8" s="332">
        <f>SUM(C8:E8)</f>
        <v>295657.91000000003</v>
      </c>
      <c r="G8" s="334">
        <f>G9-G7</f>
        <v>274673.78</v>
      </c>
      <c r="H8" s="334">
        <f>H9-H7</f>
        <v>150610.99999999997</v>
      </c>
      <c r="I8" s="334">
        <f>I9-I7</f>
        <v>378356.74999999994</v>
      </c>
      <c r="J8" s="333">
        <f>SUM(G8:I8)</f>
        <v>803641.53</v>
      </c>
      <c r="K8" s="334">
        <f>K9-K7</f>
        <v>352643.03</v>
      </c>
      <c r="L8" s="334"/>
      <c r="M8" s="334">
        <f>M9-M7</f>
        <v>99645.44</v>
      </c>
      <c r="N8" s="331">
        <f t="shared" si="0"/>
        <v>452288.47000000003</v>
      </c>
      <c r="O8" s="334"/>
      <c r="P8" s="334"/>
      <c r="Q8" s="334"/>
      <c r="R8" s="331">
        <f>SUM(O8:Q8)</f>
        <v>0</v>
      </c>
      <c r="S8" s="334">
        <f t="shared" si="1"/>
        <v>1551587.9100000001</v>
      </c>
      <c r="T8" s="320" t="e">
        <f>'свод '!#REF!</f>
        <v>#REF!</v>
      </c>
      <c r="U8" s="314" t="e">
        <f t="shared" si="2"/>
        <v>#REF!</v>
      </c>
    </row>
    <row r="9" spans="1:21" s="223" customFormat="1" ht="15">
      <c r="A9" s="307"/>
      <c r="B9" s="316">
        <v>213</v>
      </c>
      <c r="C9" s="330">
        <v>241995.07</v>
      </c>
      <c r="D9" s="330">
        <v>292941</v>
      </c>
      <c r="E9" s="330">
        <f>294225.74-62640.9</f>
        <v>231584.84</v>
      </c>
      <c r="F9" s="330">
        <f>C9+D9+E9</f>
        <v>766520.91</v>
      </c>
      <c r="G9" s="330">
        <v>407191.78</v>
      </c>
      <c r="H9" s="330">
        <f>271571.85-63942.85</f>
        <v>207628.99999999997</v>
      </c>
      <c r="I9" s="330">
        <f>566325.83-51624.7</f>
        <v>514701.12999999995</v>
      </c>
      <c r="J9" s="330">
        <f>G9+H9+I9</f>
        <v>1129521.91</v>
      </c>
      <c r="K9" s="330">
        <v>435224.03</v>
      </c>
      <c r="L9" s="330"/>
      <c r="M9" s="330">
        <v>247074.97</v>
      </c>
      <c r="N9" s="331">
        <f t="shared" si="0"/>
        <v>682299</v>
      </c>
      <c r="O9" s="330">
        <f>R9-P9-Q9</f>
        <v>0</v>
      </c>
      <c r="P9" s="330"/>
      <c r="Q9" s="330"/>
      <c r="R9" s="330"/>
      <c r="S9" s="330">
        <f t="shared" si="1"/>
        <v>2578341.82</v>
      </c>
      <c r="T9" s="317">
        <f>проверка!C8</f>
        <v>4133596</v>
      </c>
      <c r="U9" s="314">
        <f t="shared" si="2"/>
        <v>1555254.1800000002</v>
      </c>
    </row>
    <row r="10" spans="1:21" ht="22.5">
      <c r="A10" s="307" t="s">
        <v>287</v>
      </c>
      <c r="B10" s="311">
        <v>212</v>
      </c>
      <c r="C10" s="334"/>
      <c r="D10" s="334">
        <v>50</v>
      </c>
      <c r="E10" s="334">
        <v>50</v>
      </c>
      <c r="F10" s="332">
        <f>SUM(C10:E10)</f>
        <v>100</v>
      </c>
      <c r="G10" s="334">
        <v>100</v>
      </c>
      <c r="H10" s="334"/>
      <c r="I10" s="334">
        <v>50</v>
      </c>
      <c r="J10" s="332">
        <f>SUM(G10:I10)</f>
        <v>150</v>
      </c>
      <c r="K10" s="334">
        <v>200</v>
      </c>
      <c r="L10" s="334"/>
      <c r="M10" s="334"/>
      <c r="N10" s="334">
        <f t="shared" si="0"/>
        <v>200</v>
      </c>
      <c r="O10" s="334"/>
      <c r="P10" s="334"/>
      <c r="Q10" s="334"/>
      <c r="R10" s="334"/>
      <c r="S10" s="334">
        <f t="shared" si="1"/>
        <v>450</v>
      </c>
      <c r="T10" s="314" t="e">
        <f>'свод '!#REF!</f>
        <v>#REF!</v>
      </c>
      <c r="U10" s="314" t="e">
        <f t="shared" si="2"/>
        <v>#REF!</v>
      </c>
    </row>
    <row r="11" spans="1:21" ht="15">
      <c r="A11" s="248" t="s">
        <v>305</v>
      </c>
      <c r="B11" s="311">
        <v>221</v>
      </c>
      <c r="C11" s="334"/>
      <c r="D11" s="334">
        <v>3511.31</v>
      </c>
      <c r="E11" s="334">
        <v>1128.69</v>
      </c>
      <c r="F11" s="332">
        <f aca="true" t="shared" si="3" ref="F11:F20">SUM(C11:E11)</f>
        <v>4640</v>
      </c>
      <c r="G11" s="334">
        <v>2000</v>
      </c>
      <c r="H11" s="334">
        <v>1200</v>
      </c>
      <c r="I11" s="334">
        <v>1440</v>
      </c>
      <c r="J11" s="332">
        <f aca="true" t="shared" si="4" ref="J11:J20">SUM(G11:I11)</f>
        <v>4640</v>
      </c>
      <c r="K11" s="334">
        <v>1550</v>
      </c>
      <c r="L11" s="334">
        <v>3090</v>
      </c>
      <c r="M11" s="334"/>
      <c r="N11" s="334">
        <f aca="true" t="shared" si="5" ref="N11:N16">SUM(K11:M11)</f>
        <v>4640</v>
      </c>
      <c r="O11" s="334"/>
      <c r="P11" s="334"/>
      <c r="Q11" s="334"/>
      <c r="R11" s="334"/>
      <c r="S11" s="334">
        <f aca="true" t="shared" si="6" ref="S11:S20">R11+N11+J11+F11</f>
        <v>13920</v>
      </c>
      <c r="T11" s="314">
        <f>'свод '!F103</f>
        <v>19449</v>
      </c>
      <c r="U11" s="314">
        <f t="shared" si="2"/>
        <v>5529</v>
      </c>
    </row>
    <row r="12" spans="1:21" ht="15">
      <c r="A12" s="248" t="s">
        <v>368</v>
      </c>
      <c r="B12" s="311">
        <v>223</v>
      </c>
      <c r="C12" s="334">
        <v>92672.51</v>
      </c>
      <c r="D12" s="334">
        <v>110096.86</v>
      </c>
      <c r="E12" s="334">
        <v>102166.4</v>
      </c>
      <c r="F12" s="332">
        <f t="shared" si="3"/>
        <v>304935.77</v>
      </c>
      <c r="G12" s="334">
        <v>88396</v>
      </c>
      <c r="H12" s="334">
        <v>52603.55</v>
      </c>
      <c r="I12" s="334">
        <v>27229.36</v>
      </c>
      <c r="J12" s="332">
        <f t="shared" si="4"/>
        <v>168228.90999999997</v>
      </c>
      <c r="K12" s="334">
        <v>19418.42</v>
      </c>
      <c r="L12" s="334">
        <v>11521.19</v>
      </c>
      <c r="M12" s="334">
        <v>15649.78</v>
      </c>
      <c r="N12" s="334">
        <f t="shared" si="5"/>
        <v>46589.39</v>
      </c>
      <c r="O12" s="334"/>
      <c r="P12" s="334"/>
      <c r="Q12" s="334"/>
      <c r="R12" s="334"/>
      <c r="S12" s="334">
        <f t="shared" si="6"/>
        <v>519754.07</v>
      </c>
      <c r="T12" s="314">
        <f>'свод '!F146</f>
        <v>995570</v>
      </c>
      <c r="U12" s="314">
        <f t="shared" si="2"/>
        <v>475815.93</v>
      </c>
    </row>
    <row r="13" spans="1:21" ht="15">
      <c r="A13" s="309" t="s">
        <v>372</v>
      </c>
      <c r="B13" s="311">
        <v>225</v>
      </c>
      <c r="C13" s="334">
        <v>6588.73</v>
      </c>
      <c r="D13" s="334">
        <v>14947.69</v>
      </c>
      <c r="E13" s="334">
        <v>1811.3</v>
      </c>
      <c r="F13" s="332">
        <f t="shared" si="3"/>
        <v>23347.719999999998</v>
      </c>
      <c r="G13" s="334">
        <v>19804.54</v>
      </c>
      <c r="H13" s="334">
        <v>6767.3</v>
      </c>
      <c r="I13" s="334"/>
      <c r="J13" s="332">
        <f t="shared" si="4"/>
        <v>26571.84</v>
      </c>
      <c r="K13" s="334">
        <v>31545.03</v>
      </c>
      <c r="L13" s="334">
        <v>28452.81</v>
      </c>
      <c r="M13" s="334">
        <v>8861.74</v>
      </c>
      <c r="N13" s="334">
        <f t="shared" si="5"/>
        <v>68859.58</v>
      </c>
      <c r="O13" s="334"/>
      <c r="P13" s="334"/>
      <c r="Q13" s="334"/>
      <c r="R13" s="334"/>
      <c r="S13" s="334">
        <f t="shared" si="6"/>
        <v>118779.14</v>
      </c>
      <c r="T13" s="314">
        <f>проверка!C17</f>
        <v>108032</v>
      </c>
      <c r="U13" s="314">
        <f t="shared" si="2"/>
        <v>-10747.14</v>
      </c>
    </row>
    <row r="14" spans="1:21" ht="15">
      <c r="A14" s="248" t="s">
        <v>371</v>
      </c>
      <c r="B14" s="311">
        <v>226</v>
      </c>
      <c r="C14" s="334">
        <v>2600</v>
      </c>
      <c r="D14" s="334">
        <v>2000.2</v>
      </c>
      <c r="E14" s="334">
        <v>1000.1</v>
      </c>
      <c r="F14" s="332">
        <f t="shared" si="3"/>
        <v>5600.3</v>
      </c>
      <c r="G14" s="334">
        <v>7400.1</v>
      </c>
      <c r="H14" s="334">
        <v>5017.6</v>
      </c>
      <c r="I14" s="334"/>
      <c r="J14" s="332">
        <f t="shared" si="4"/>
        <v>12417.7</v>
      </c>
      <c r="K14" s="334">
        <v>77582.7</v>
      </c>
      <c r="L14" s="334">
        <v>4730.1</v>
      </c>
      <c r="M14" s="334"/>
      <c r="N14" s="334">
        <f t="shared" si="5"/>
        <v>82312.8</v>
      </c>
      <c r="O14" s="334"/>
      <c r="P14" s="334"/>
      <c r="Q14" s="334"/>
      <c r="R14" s="334"/>
      <c r="S14" s="334">
        <f t="shared" si="6"/>
        <v>100330.8</v>
      </c>
      <c r="T14" s="314">
        <f>проверка!C18</f>
        <v>206401</v>
      </c>
      <c r="U14" s="314">
        <f t="shared" si="2"/>
        <v>106070.2</v>
      </c>
    </row>
    <row r="15" spans="1:21" ht="15.75" customHeight="1">
      <c r="A15" s="311" t="s">
        <v>367</v>
      </c>
      <c r="B15" s="311">
        <v>290</v>
      </c>
      <c r="C15" s="334">
        <v>85762</v>
      </c>
      <c r="D15" s="334">
        <v>17738</v>
      </c>
      <c r="E15" s="334"/>
      <c r="F15" s="332">
        <f>SUM(C15:E15)</f>
        <v>103500</v>
      </c>
      <c r="G15" s="334">
        <v>17805</v>
      </c>
      <c r="H15" s="334">
        <v>86118</v>
      </c>
      <c r="I15" s="334"/>
      <c r="J15" s="332">
        <f t="shared" si="4"/>
        <v>103923</v>
      </c>
      <c r="K15" s="334">
        <v>103876</v>
      </c>
      <c r="L15" s="334"/>
      <c r="M15" s="334"/>
      <c r="N15" s="334">
        <f t="shared" si="5"/>
        <v>103876</v>
      </c>
      <c r="O15" s="334"/>
      <c r="P15" s="334"/>
      <c r="Q15" s="334"/>
      <c r="R15" s="334"/>
      <c r="S15" s="334">
        <f>R15+N15+J15+F15</f>
        <v>311299</v>
      </c>
      <c r="T15" s="321">
        <f>'свод '!F157</f>
        <v>238547</v>
      </c>
      <c r="U15" s="314">
        <f>T15-S15</f>
        <v>-72752</v>
      </c>
    </row>
    <row r="16" spans="1:21" ht="15">
      <c r="A16" s="310" t="s">
        <v>355</v>
      </c>
      <c r="B16" s="311">
        <v>340</v>
      </c>
      <c r="C16" s="334">
        <v>49995.82</v>
      </c>
      <c r="D16" s="334">
        <v>98439.8</v>
      </c>
      <c r="E16" s="334">
        <v>175747.04</v>
      </c>
      <c r="F16" s="332">
        <f>SUM(C16:E16)</f>
        <v>324182.66000000003</v>
      </c>
      <c r="G16" s="334">
        <v>88189.82</v>
      </c>
      <c r="H16" s="334">
        <v>180386.41</v>
      </c>
      <c r="I16" s="334">
        <v>69260.81</v>
      </c>
      <c r="J16" s="332">
        <f t="shared" si="4"/>
        <v>337837.04</v>
      </c>
      <c r="K16" s="334">
        <v>25157.93</v>
      </c>
      <c r="L16" s="334">
        <v>470377.12</v>
      </c>
      <c r="M16" s="334">
        <v>32319.23</v>
      </c>
      <c r="N16" s="334">
        <f t="shared" si="5"/>
        <v>527854.28</v>
      </c>
      <c r="O16" s="334"/>
      <c r="P16" s="334"/>
      <c r="Q16" s="334"/>
      <c r="R16" s="334"/>
      <c r="S16" s="334">
        <f t="shared" si="6"/>
        <v>1189873.98</v>
      </c>
      <c r="T16" s="314">
        <f>проверка!C20</f>
        <v>290700</v>
      </c>
      <c r="U16" s="314">
        <f t="shared" si="2"/>
        <v>-899173.98</v>
      </c>
    </row>
    <row r="17" spans="1:21" s="324" customFormat="1" ht="15">
      <c r="A17" s="322" t="s">
        <v>369</v>
      </c>
      <c r="B17" s="322"/>
      <c r="C17" s="335">
        <f>C5+C7</f>
        <v>338335</v>
      </c>
      <c r="D17" s="335">
        <f>D5+D7</f>
        <v>845838</v>
      </c>
      <c r="E17" s="335">
        <f>E5+E7</f>
        <v>845838</v>
      </c>
      <c r="F17" s="335">
        <f t="shared" si="3"/>
        <v>2030011</v>
      </c>
      <c r="G17" s="335">
        <f>G5+G7</f>
        <v>566950</v>
      </c>
      <c r="H17" s="335">
        <f>H5+H7</f>
        <v>726470.31</v>
      </c>
      <c r="I17" s="335">
        <f>I5+I7</f>
        <v>352216.38</v>
      </c>
      <c r="J17" s="335">
        <f t="shared" si="4"/>
        <v>1645636.69</v>
      </c>
      <c r="K17" s="335">
        <f>K5+K7</f>
        <v>454050</v>
      </c>
      <c r="L17" s="335">
        <f>L5+L7</f>
        <v>311494</v>
      </c>
      <c r="M17" s="335">
        <f>M5+M7</f>
        <v>462849.53</v>
      </c>
      <c r="N17" s="335">
        <f>SUM(K17:M17)</f>
        <v>1228393.53</v>
      </c>
      <c r="O17" s="335">
        <f>O5+O7</f>
        <v>0</v>
      </c>
      <c r="P17" s="335">
        <f>P5+P7</f>
        <v>0</v>
      </c>
      <c r="Q17" s="335">
        <f>Q5+Q7</f>
        <v>0</v>
      </c>
      <c r="R17" s="335">
        <f>SUM(O17:Q17)</f>
        <v>0</v>
      </c>
      <c r="S17" s="336">
        <f t="shared" si="6"/>
        <v>4904041.22</v>
      </c>
      <c r="T17" s="323">
        <f>'свод '!F20</f>
        <v>9071478.73</v>
      </c>
      <c r="U17" s="314">
        <f t="shared" si="2"/>
        <v>4167437.5100000007</v>
      </c>
    </row>
    <row r="18" spans="1:21" ht="15.75">
      <c r="A18" s="325" t="s">
        <v>370</v>
      </c>
      <c r="B18" s="311"/>
      <c r="C18" s="337">
        <f>C16+C13+C12+C11+C10+C8+C6+C14</f>
        <v>415253.95</v>
      </c>
      <c r="D18" s="337">
        <f>D16+D13+D12+D11+D10+D8+D6+D14</f>
        <v>587992.36</v>
      </c>
      <c r="E18" s="337">
        <f>E16+E13+E12+E11+E10+E8+E6+E14</f>
        <v>699255.37</v>
      </c>
      <c r="F18" s="337">
        <f t="shared" si="3"/>
        <v>1702501.6800000002</v>
      </c>
      <c r="G18" s="337">
        <f>G16+G13+G12+G11+G10+G8+G6+G14</f>
        <v>1553141.2400000002</v>
      </c>
      <c r="H18" s="337">
        <f>H16+H13+H12+H11+H10+H8+H6+H14</f>
        <v>969154.5499999999</v>
      </c>
      <c r="I18" s="337">
        <f>I16+I13+I12+I11+I10+I8+I6+I14</f>
        <v>1105670.7399999998</v>
      </c>
      <c r="J18" s="337">
        <f t="shared" si="4"/>
        <v>3627966.53</v>
      </c>
      <c r="K18" s="337">
        <f>K16+K13+K12+K11+K10+K8+K6+K14</f>
        <v>1109979.46</v>
      </c>
      <c r="L18" s="337">
        <f>L16+L13+L12+L11+L10+L8+L6+L14</f>
        <v>822321.87</v>
      </c>
      <c r="M18" s="337">
        <f>M16+M13+M12+M11+M10+M8+M6+M14</f>
        <v>760275.05</v>
      </c>
      <c r="N18" s="337">
        <f>SUM(K18:M18)</f>
        <v>2692576.38</v>
      </c>
      <c r="O18" s="337">
        <f>O16+O13+O12+O11+O10+O8+O6+O14</f>
        <v>0</v>
      </c>
      <c r="P18" s="337">
        <f>P16+P13+P12+P11+P10+P8+P6+P14</f>
        <v>0</v>
      </c>
      <c r="Q18" s="337">
        <f>Q16+Q13+Q12+Q11+Q10+Q8+Q6+Q14</f>
        <v>0</v>
      </c>
      <c r="R18" s="337">
        <f>SUM(O18:Q18)</f>
        <v>0</v>
      </c>
      <c r="S18" s="336">
        <f t="shared" si="6"/>
        <v>8023044.59</v>
      </c>
      <c r="T18" s="314">
        <f>'свод '!F147</f>
        <v>11437120.266242135</v>
      </c>
      <c r="U18" s="314">
        <f t="shared" si="2"/>
        <v>3414075.6762421355</v>
      </c>
    </row>
    <row r="19" spans="1:21" ht="15">
      <c r="A19" s="322" t="s">
        <v>366</v>
      </c>
      <c r="B19" s="311"/>
      <c r="C19" s="335">
        <f>C15</f>
        <v>85762</v>
      </c>
      <c r="D19" s="335">
        <f>D15</f>
        <v>17738</v>
      </c>
      <c r="E19" s="335">
        <f>E15</f>
        <v>0</v>
      </c>
      <c r="F19" s="335">
        <f t="shared" si="3"/>
        <v>103500</v>
      </c>
      <c r="G19" s="335">
        <f>G15</f>
        <v>17805</v>
      </c>
      <c r="H19" s="335">
        <f>H15</f>
        <v>86118</v>
      </c>
      <c r="I19" s="335">
        <f>I15</f>
        <v>0</v>
      </c>
      <c r="J19" s="335">
        <f t="shared" si="4"/>
        <v>103923</v>
      </c>
      <c r="K19" s="335">
        <f>K15</f>
        <v>103876</v>
      </c>
      <c r="L19" s="335">
        <f>L15</f>
        <v>0</v>
      </c>
      <c r="M19" s="335">
        <f>M15</f>
        <v>0</v>
      </c>
      <c r="N19" s="335">
        <f>SUM(K19:M19)</f>
        <v>103876</v>
      </c>
      <c r="O19" s="335">
        <f>O15</f>
        <v>0</v>
      </c>
      <c r="P19" s="335">
        <f>P15</f>
        <v>0</v>
      </c>
      <c r="Q19" s="335">
        <f>Q15</f>
        <v>0</v>
      </c>
      <c r="R19" s="335">
        <f>SUM(O19:Q19)</f>
        <v>0</v>
      </c>
      <c r="S19" s="336">
        <f t="shared" si="6"/>
        <v>311299</v>
      </c>
      <c r="T19" s="314">
        <f>'свод '!F157</f>
        <v>238547</v>
      </c>
      <c r="U19" s="314">
        <f t="shared" si="2"/>
        <v>-72752</v>
      </c>
    </row>
    <row r="20" spans="1:21" s="328" customFormat="1" ht="15.75">
      <c r="A20" s="326" t="s">
        <v>365</v>
      </c>
      <c r="B20" s="326"/>
      <c r="C20" s="338">
        <f>C19+C17+C18</f>
        <v>839350.95</v>
      </c>
      <c r="D20" s="338">
        <f>D19+D17+D18</f>
        <v>1451568.3599999999</v>
      </c>
      <c r="E20" s="338">
        <f>E19+E17+E18</f>
        <v>1545093.37</v>
      </c>
      <c r="F20" s="339">
        <f t="shared" si="3"/>
        <v>3836012.6799999997</v>
      </c>
      <c r="G20" s="338">
        <f>G19+G17+G18</f>
        <v>2137896.24</v>
      </c>
      <c r="H20" s="338">
        <f>H19+H17+H18</f>
        <v>1781742.8599999999</v>
      </c>
      <c r="I20" s="338">
        <f>I19+I17+I18</f>
        <v>1457887.1199999996</v>
      </c>
      <c r="J20" s="339">
        <f t="shared" si="4"/>
        <v>5377526.22</v>
      </c>
      <c r="K20" s="338">
        <f>K19+K17+K18</f>
        <v>1667905.46</v>
      </c>
      <c r="L20" s="338">
        <f>L19+L17+L18</f>
        <v>1133815.87</v>
      </c>
      <c r="M20" s="338">
        <f>M19+M17+M18</f>
        <v>1223124.58</v>
      </c>
      <c r="N20" s="339">
        <f>SUM(K20:M20)</f>
        <v>4024845.91</v>
      </c>
      <c r="O20" s="338">
        <f>O19+O17+O18</f>
        <v>0</v>
      </c>
      <c r="P20" s="338">
        <f>P19+P17+P18</f>
        <v>0</v>
      </c>
      <c r="Q20" s="338">
        <f>Q19+Q17+Q18</f>
        <v>0</v>
      </c>
      <c r="R20" s="339">
        <f>SUM(O20:Q20)</f>
        <v>0</v>
      </c>
      <c r="S20" s="340">
        <f t="shared" si="6"/>
        <v>13238384.809999999</v>
      </c>
      <c r="T20" s="327">
        <f>'свод '!F158</f>
        <v>20747145.996242136</v>
      </c>
      <c r="U20" s="314">
        <f t="shared" si="2"/>
        <v>7508761.186242137</v>
      </c>
    </row>
    <row r="21" spans="19:20" ht="15">
      <c r="S21" s="261">
        <v>9213538.9</v>
      </c>
      <c r="T21" s="314">
        <f>S20-S21</f>
        <v>4024845.9099999983</v>
      </c>
    </row>
    <row r="22" spans="7:9" ht="15">
      <c r="G22" s="261">
        <v>2137896.24</v>
      </c>
      <c r="H22" s="261">
        <v>1781742.86</v>
      </c>
      <c r="I22" s="261">
        <v>1457887.12</v>
      </c>
    </row>
    <row r="23" spans="7:18" ht="15">
      <c r="G23" s="314">
        <f>G20-G22</f>
        <v>0</v>
      </c>
      <c r="H23" s="314">
        <f>H20-H22</f>
        <v>0</v>
      </c>
      <c r="I23" s="314">
        <f>I20-I22</f>
        <v>0</v>
      </c>
      <c r="R23" s="314"/>
    </row>
    <row r="24" ht="15">
      <c r="F24" s="261">
        <f>S21-G22-H22-I22</f>
        <v>3836012.6799999997</v>
      </c>
    </row>
    <row r="25" ht="15">
      <c r="F25" s="314">
        <f>F20-F24</f>
        <v>0</v>
      </c>
    </row>
    <row r="26" ht="15">
      <c r="A26" s="329"/>
    </row>
    <row r="27" ht="15">
      <c r="B27" s="329"/>
    </row>
    <row r="28" spans="1:9" ht="15">
      <c r="A28" s="329" t="s">
        <v>353</v>
      </c>
      <c r="H28" s="712"/>
      <c r="I28" s="712"/>
    </row>
    <row r="30" spans="1:9" ht="15">
      <c r="A30" s="261" t="s">
        <v>338</v>
      </c>
      <c r="H30" s="712"/>
      <c r="I30" s="712"/>
    </row>
  </sheetData>
  <sheetProtection/>
  <mergeCells count="5">
    <mergeCell ref="H30:I30"/>
    <mergeCell ref="A1:S1"/>
    <mergeCell ref="B2:B3"/>
    <mergeCell ref="C2:R2"/>
    <mergeCell ref="H28:I28"/>
  </mergeCells>
  <printOptions/>
  <pageMargins left="0" right="0" top="0" bottom="0" header="0.3149606299212598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0"/>
  <sheetViews>
    <sheetView view="pageBreakPreview" zoomScaleSheetLayoutView="100" zoomScalePageLayoutView="0" workbookViewId="0" topLeftCell="A10">
      <pane xSplit="4" topLeftCell="E1" activePane="topRight" state="frozen"/>
      <selection pane="topLeft" activeCell="Q23" sqref="Q23"/>
      <selection pane="topRight" activeCell="Q23" sqref="Q23"/>
    </sheetView>
  </sheetViews>
  <sheetFormatPr defaultColWidth="9.00390625" defaultRowHeight="12.75"/>
  <cols>
    <col min="1" max="1" width="9.125" style="211" customWidth="1"/>
    <col min="2" max="2" width="52.25390625" style="211" customWidth="1"/>
    <col min="3" max="3" width="15.875" style="211" customWidth="1"/>
    <col min="4" max="4" width="18.25390625" style="211" customWidth="1"/>
    <col min="5" max="7" width="16.25390625" style="211" customWidth="1"/>
    <col min="8" max="10" width="16.75390625" style="211" hidden="1" customWidth="1"/>
    <col min="11" max="11" width="18.00390625" style="211" hidden="1" customWidth="1"/>
    <col min="12" max="12" width="17.75390625" style="211" hidden="1" customWidth="1"/>
    <col min="13" max="13" width="17.125" style="211" hidden="1" customWidth="1"/>
    <col min="14" max="14" width="16.875" style="211" hidden="1" customWidth="1"/>
    <col min="15" max="15" width="15.25390625" style="211" hidden="1" customWidth="1"/>
    <col min="16" max="16" width="15.125" style="211" hidden="1" customWidth="1"/>
    <col min="17" max="17" width="14.25390625" style="213" hidden="1" customWidth="1"/>
    <col min="18" max="18" width="16.25390625" style="211" hidden="1" customWidth="1"/>
    <col min="19" max="19" width="9.125" style="211" hidden="1" customWidth="1"/>
    <col min="20" max="20" width="10.125" style="211" bestFit="1" customWidth="1"/>
    <col min="21" max="21" width="9.625" style="211" bestFit="1" customWidth="1"/>
    <col min="22" max="16384" width="9.125" style="211" customWidth="1"/>
  </cols>
  <sheetData>
    <row r="1" ht="11.25" customHeight="1">
      <c r="G1" s="212" t="s">
        <v>104</v>
      </c>
    </row>
    <row r="2" ht="9" customHeight="1">
      <c r="G2" s="212" t="s">
        <v>381</v>
      </c>
    </row>
    <row r="3" ht="9.75" customHeight="1">
      <c r="G3" s="212" t="s">
        <v>382</v>
      </c>
    </row>
    <row r="4" ht="9.75" customHeight="1">
      <c r="G4" s="212" t="s">
        <v>383</v>
      </c>
    </row>
    <row r="5" ht="9" customHeight="1">
      <c r="G5" s="212" t="s">
        <v>384</v>
      </c>
    </row>
    <row r="6" ht="10.5" customHeight="1">
      <c r="G6" s="212" t="s">
        <v>385</v>
      </c>
    </row>
    <row r="7" ht="9" customHeight="1">
      <c r="G7" s="212" t="s">
        <v>386</v>
      </c>
    </row>
    <row r="8" ht="9.75" customHeight="1">
      <c r="G8" s="212" t="s">
        <v>387</v>
      </c>
    </row>
    <row r="9" ht="9" customHeight="1">
      <c r="G9" s="212" t="s">
        <v>388</v>
      </c>
    </row>
    <row r="10" ht="9.75" customHeight="1">
      <c r="G10" s="212" t="s">
        <v>389</v>
      </c>
    </row>
    <row r="11" spans="2:17" s="214" customFormat="1" ht="15.75">
      <c r="B11" s="215"/>
      <c r="C11" s="216" t="s">
        <v>105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Q11" s="217"/>
    </row>
    <row r="12" spans="2:17" s="214" customFormat="1" ht="15.75">
      <c r="B12" s="215"/>
      <c r="C12" s="216" t="s">
        <v>106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Q12" s="217"/>
    </row>
    <row r="13" spans="1:17" s="214" customFormat="1" ht="33" customHeight="1">
      <c r="A13" s="748" t="s">
        <v>107</v>
      </c>
      <c r="B13" s="749"/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217"/>
    </row>
    <row r="14" spans="1:17" s="214" customFormat="1" ht="18.75" customHeight="1">
      <c r="A14" s="749" t="s">
        <v>167</v>
      </c>
      <c r="B14" s="749"/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217"/>
    </row>
    <row r="15" spans="1:17" s="214" customFormat="1" ht="15.7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7"/>
    </row>
    <row r="16" spans="2:17" s="214" customFormat="1" ht="15.75">
      <c r="B16" s="215"/>
      <c r="C16" s="216" t="s">
        <v>174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Q16" s="217"/>
    </row>
    <row r="17" spans="2:17" s="214" customFormat="1" ht="15.75">
      <c r="B17" s="215"/>
      <c r="C17" s="216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Q17" s="217"/>
    </row>
    <row r="18" spans="1:17" s="214" customFormat="1" ht="17.25" customHeight="1">
      <c r="A18" s="219" t="s">
        <v>108</v>
      </c>
      <c r="B18" s="220"/>
      <c r="C18" s="343" t="s">
        <v>171</v>
      </c>
      <c r="D18" s="343"/>
      <c r="E18" s="221"/>
      <c r="F18" s="221"/>
      <c r="G18" s="221"/>
      <c r="H18" s="221"/>
      <c r="I18" s="221"/>
      <c r="J18" s="221"/>
      <c r="K18" s="221"/>
      <c r="L18" s="221"/>
      <c r="M18" s="221"/>
      <c r="Q18" s="217"/>
    </row>
    <row r="19" spans="2:17" s="214" customFormat="1" ht="12.75" customHeight="1" hidden="1">
      <c r="B19" s="222"/>
      <c r="C19" s="343"/>
      <c r="D19" s="343"/>
      <c r="Q19" s="217"/>
    </row>
    <row r="20" spans="2:17" s="214" customFormat="1" ht="12.75">
      <c r="B20" s="222"/>
      <c r="C20" s="343" t="s">
        <v>172</v>
      </c>
      <c r="D20" s="343"/>
      <c r="Q20" s="217"/>
    </row>
    <row r="21" spans="1:17" s="223" customFormat="1" ht="15">
      <c r="A21" s="223" t="s">
        <v>109</v>
      </c>
      <c r="C21" s="344"/>
      <c r="D21" s="344"/>
      <c r="Q21" s="224"/>
    </row>
    <row r="22" spans="1:17" s="223" customFormat="1" ht="15">
      <c r="A22" s="223" t="s">
        <v>110</v>
      </c>
      <c r="Q22" s="224"/>
    </row>
    <row r="24" spans="1:16" ht="39" customHeight="1">
      <c r="A24" s="580" t="s">
        <v>111</v>
      </c>
      <c r="B24" s="581"/>
      <c r="C24" s="227" t="s">
        <v>261</v>
      </c>
      <c r="D24" s="227" t="s">
        <v>112</v>
      </c>
      <c r="E24" s="580" t="s">
        <v>113</v>
      </c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581"/>
    </row>
    <row r="25" spans="1:16" ht="21.75" customHeight="1">
      <c r="A25" s="590" t="s">
        <v>114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591"/>
    </row>
    <row r="26" spans="1:19" ht="64.5" customHeight="1">
      <c r="A26" s="734" t="s">
        <v>115</v>
      </c>
      <c r="B26" s="735"/>
      <c r="C26" s="229" t="s">
        <v>406</v>
      </c>
      <c r="D26" s="230">
        <f>ROUND((E26+F26+G26+H26+I26+J26+K26+L26+M26+N26+O26+P26)/S26,0)</f>
        <v>152</v>
      </c>
      <c r="E26" s="230">
        <f aca="true" t="shared" si="0" ref="E26:M26">E27</f>
        <v>152</v>
      </c>
      <c r="F26" s="230">
        <f t="shared" si="0"/>
        <v>152</v>
      </c>
      <c r="G26" s="230">
        <v>152</v>
      </c>
      <c r="H26" s="230">
        <f t="shared" si="0"/>
        <v>0</v>
      </c>
      <c r="I26" s="230">
        <f t="shared" si="0"/>
        <v>0</v>
      </c>
      <c r="J26" s="230">
        <f t="shared" si="0"/>
        <v>0</v>
      </c>
      <c r="K26" s="230">
        <f t="shared" si="0"/>
        <v>0</v>
      </c>
      <c r="L26" s="230">
        <f t="shared" si="0"/>
        <v>0</v>
      </c>
      <c r="M26" s="230">
        <f t="shared" si="0"/>
        <v>0</v>
      </c>
      <c r="N26" s="230">
        <f>N27</f>
        <v>0</v>
      </c>
      <c r="O26" s="230">
        <f>O27</f>
        <v>0</v>
      </c>
      <c r="P26" s="230">
        <f>P27</f>
        <v>0</v>
      </c>
      <c r="S26" s="211">
        <f>COUNTIF(E26:P26,"&gt;0")</f>
        <v>3</v>
      </c>
    </row>
    <row r="27" spans="1:19" ht="12.75">
      <c r="A27" s="734" t="s">
        <v>116</v>
      </c>
      <c r="B27" s="735"/>
      <c r="C27" s="229" t="s">
        <v>406</v>
      </c>
      <c r="D27" s="230">
        <f>ROUND((E27+F27+G27+H27+I27+J27+K27+L27+M27+N27+O27+P27)/S27,0)</f>
        <v>152</v>
      </c>
      <c r="E27" s="230">
        <f>'[2]мун.задание'!D69</f>
        <v>152</v>
      </c>
      <c r="F27" s="230">
        <f>'[2]мун.задание'!E69</f>
        <v>152</v>
      </c>
      <c r="G27" s="230">
        <v>152</v>
      </c>
      <c r="H27" s="230"/>
      <c r="I27" s="230"/>
      <c r="J27" s="230"/>
      <c r="K27" s="230"/>
      <c r="L27" s="230"/>
      <c r="M27" s="230"/>
      <c r="N27" s="230"/>
      <c r="O27" s="230"/>
      <c r="P27" s="230"/>
      <c r="S27" s="211">
        <f>COUNTIF(E27:P27,"&gt;0")</f>
        <v>3</v>
      </c>
    </row>
    <row r="28" spans="1:19" ht="15" customHeight="1">
      <c r="A28" s="734" t="s">
        <v>117</v>
      </c>
      <c r="B28" s="735"/>
      <c r="C28" s="229" t="s">
        <v>406</v>
      </c>
      <c r="D28" s="230">
        <f>ROUND((E28+F28+G28+H28+I28+J28+K28+L28+M28+N28+O28+P28)/S28,0)</f>
        <v>152</v>
      </c>
      <c r="E28" s="230">
        <f>'[2]мун.задание'!D70</f>
        <v>152</v>
      </c>
      <c r="F28" s="230">
        <f>'[2]мун.задание'!E70</f>
        <v>152</v>
      </c>
      <c r="G28" s="230">
        <v>152</v>
      </c>
      <c r="H28" s="230"/>
      <c r="I28" s="230"/>
      <c r="J28" s="230"/>
      <c r="K28" s="230"/>
      <c r="L28" s="230"/>
      <c r="M28" s="230"/>
      <c r="N28" s="230"/>
      <c r="O28" s="230"/>
      <c r="P28" s="230"/>
      <c r="S28" s="211">
        <f>COUNTIF(E28:P28,"&gt;0")</f>
        <v>3</v>
      </c>
    </row>
    <row r="29" spans="1:19" ht="15" customHeight="1">
      <c r="A29" s="734" t="s">
        <v>118</v>
      </c>
      <c r="B29" s="735"/>
      <c r="C29" s="229" t="s">
        <v>406</v>
      </c>
      <c r="D29" s="230">
        <f>ROUND((E29+F29+G29+H29+I29+J29+K29+L29+M29+N29+O29+P29)/S29,0)</f>
        <v>152</v>
      </c>
      <c r="E29" s="230">
        <f>'[2]мун.задание'!D71</f>
        <v>152</v>
      </c>
      <c r="F29" s="230">
        <f>'[2]мун.задание'!E71</f>
        <v>152</v>
      </c>
      <c r="G29" s="230">
        <v>152</v>
      </c>
      <c r="H29" s="230"/>
      <c r="I29" s="230"/>
      <c r="J29" s="230"/>
      <c r="K29" s="230"/>
      <c r="L29" s="230"/>
      <c r="M29" s="230"/>
      <c r="N29" s="230"/>
      <c r="O29" s="230"/>
      <c r="P29" s="230"/>
      <c r="S29" s="211">
        <f>COUNTIF(E29:P29,"&gt;0")</f>
        <v>3</v>
      </c>
    </row>
    <row r="30" spans="1:16" ht="22.5" customHeight="1">
      <c r="A30" s="590" t="s">
        <v>119</v>
      </c>
      <c r="B30" s="742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591"/>
    </row>
    <row r="31" spans="1:19" ht="63" customHeight="1">
      <c r="A31" s="734" t="s">
        <v>120</v>
      </c>
      <c r="B31" s="735"/>
      <c r="C31" s="229" t="s">
        <v>406</v>
      </c>
      <c r="D31" s="230">
        <f>ROUND((E31+F31+G31+H31+I31+J31+K31+L31+M31+N31+O31+P31)/S31,0)</f>
        <v>152</v>
      </c>
      <c r="E31" s="230">
        <f aca="true" t="shared" si="1" ref="E31:P31">E32</f>
        <v>152</v>
      </c>
      <c r="F31" s="230">
        <f t="shared" si="1"/>
        <v>152</v>
      </c>
      <c r="G31" s="230">
        <f t="shared" si="1"/>
        <v>152</v>
      </c>
      <c r="H31" s="230">
        <f t="shared" si="1"/>
        <v>0</v>
      </c>
      <c r="I31" s="230">
        <f t="shared" si="1"/>
        <v>0</v>
      </c>
      <c r="J31" s="230">
        <f t="shared" si="1"/>
        <v>0</v>
      </c>
      <c r="K31" s="230">
        <f t="shared" si="1"/>
        <v>0</v>
      </c>
      <c r="L31" s="230">
        <f t="shared" si="1"/>
        <v>0</v>
      </c>
      <c r="M31" s="230">
        <f t="shared" si="1"/>
        <v>0</v>
      </c>
      <c r="N31" s="230">
        <f t="shared" si="1"/>
        <v>0</v>
      </c>
      <c r="O31" s="230">
        <f t="shared" si="1"/>
        <v>0</v>
      </c>
      <c r="P31" s="230">
        <f t="shared" si="1"/>
        <v>0</v>
      </c>
      <c r="S31" s="211">
        <f>COUNTIF(E31:P31,"&gt;0")</f>
        <v>3</v>
      </c>
    </row>
    <row r="32" spans="1:19" ht="12.75">
      <c r="A32" s="734" t="s">
        <v>116</v>
      </c>
      <c r="B32" s="735"/>
      <c r="C32" s="229" t="s">
        <v>406</v>
      </c>
      <c r="D32" s="230">
        <f>ROUND((E32+F32+G32+H32+I32+J32+K32+L32+M32+N32+O32+P32)/S32,0)</f>
        <v>152</v>
      </c>
      <c r="E32" s="230">
        <f>E27</f>
        <v>152</v>
      </c>
      <c r="F32" s="230">
        <f aca="true" t="shared" si="2" ref="F32:P32">F27</f>
        <v>152</v>
      </c>
      <c r="G32" s="230">
        <f t="shared" si="2"/>
        <v>152</v>
      </c>
      <c r="H32" s="230">
        <f t="shared" si="2"/>
        <v>0</v>
      </c>
      <c r="I32" s="230">
        <f t="shared" si="2"/>
        <v>0</v>
      </c>
      <c r="J32" s="230">
        <f t="shared" si="2"/>
        <v>0</v>
      </c>
      <c r="K32" s="230">
        <f t="shared" si="2"/>
        <v>0</v>
      </c>
      <c r="L32" s="230">
        <f t="shared" si="2"/>
        <v>0</v>
      </c>
      <c r="M32" s="230">
        <f t="shared" si="2"/>
        <v>0</v>
      </c>
      <c r="N32" s="230">
        <f t="shared" si="2"/>
        <v>0</v>
      </c>
      <c r="O32" s="230">
        <f t="shared" si="2"/>
        <v>0</v>
      </c>
      <c r="P32" s="230">
        <f t="shared" si="2"/>
        <v>0</v>
      </c>
      <c r="S32" s="211">
        <f>COUNTIF(E32:P32,"&gt;0")</f>
        <v>3</v>
      </c>
    </row>
    <row r="33" spans="1:19" ht="13.5" customHeight="1">
      <c r="A33" s="734" t="s">
        <v>117</v>
      </c>
      <c r="B33" s="735"/>
      <c r="C33" s="229" t="s">
        <v>406</v>
      </c>
      <c r="D33" s="230">
        <f>ROUND((E33+F33+G33+H33+I33+J33+K33+L33+M33+N33+O33+P33)/S33,0)</f>
        <v>152</v>
      </c>
      <c r="E33" s="230">
        <f aca="true" t="shared" si="3" ref="E33:P34">E28</f>
        <v>152</v>
      </c>
      <c r="F33" s="230">
        <f t="shared" si="3"/>
        <v>152</v>
      </c>
      <c r="G33" s="230">
        <f t="shared" si="3"/>
        <v>152</v>
      </c>
      <c r="H33" s="230">
        <f t="shared" si="3"/>
        <v>0</v>
      </c>
      <c r="I33" s="230">
        <f t="shared" si="3"/>
        <v>0</v>
      </c>
      <c r="J33" s="230">
        <f t="shared" si="3"/>
        <v>0</v>
      </c>
      <c r="K33" s="230">
        <f t="shared" si="3"/>
        <v>0</v>
      </c>
      <c r="L33" s="230">
        <f t="shared" si="3"/>
        <v>0</v>
      </c>
      <c r="M33" s="230">
        <f t="shared" si="3"/>
        <v>0</v>
      </c>
      <c r="N33" s="230">
        <f t="shared" si="3"/>
        <v>0</v>
      </c>
      <c r="O33" s="230">
        <f t="shared" si="3"/>
        <v>0</v>
      </c>
      <c r="P33" s="230">
        <f t="shared" si="3"/>
        <v>0</v>
      </c>
      <c r="S33" s="211">
        <f>COUNTIF(E33:P33,"&gt;0")</f>
        <v>3</v>
      </c>
    </row>
    <row r="34" spans="1:19" ht="13.5" customHeight="1">
      <c r="A34" s="734" t="s">
        <v>118</v>
      </c>
      <c r="B34" s="735"/>
      <c r="C34" s="229" t="s">
        <v>406</v>
      </c>
      <c r="D34" s="230">
        <f>ROUND((E34+F34+G34+H34+I34+J34+K34+L34+M34+N34+O34+P34)/S34,0)</f>
        <v>152</v>
      </c>
      <c r="E34" s="230">
        <f t="shared" si="3"/>
        <v>152</v>
      </c>
      <c r="F34" s="230">
        <f t="shared" si="3"/>
        <v>152</v>
      </c>
      <c r="G34" s="230">
        <f t="shared" si="3"/>
        <v>152</v>
      </c>
      <c r="H34" s="230">
        <f t="shared" si="3"/>
        <v>0</v>
      </c>
      <c r="I34" s="230">
        <f t="shared" si="3"/>
        <v>0</v>
      </c>
      <c r="J34" s="230">
        <f t="shared" si="3"/>
        <v>0</v>
      </c>
      <c r="K34" s="230">
        <f t="shared" si="3"/>
        <v>0</v>
      </c>
      <c r="L34" s="230">
        <f t="shared" si="3"/>
        <v>0</v>
      </c>
      <c r="M34" s="230">
        <f t="shared" si="3"/>
        <v>0</v>
      </c>
      <c r="N34" s="230">
        <f t="shared" si="3"/>
        <v>0</v>
      </c>
      <c r="O34" s="230">
        <f t="shared" si="3"/>
        <v>0</v>
      </c>
      <c r="P34" s="230">
        <f t="shared" si="3"/>
        <v>0</v>
      </c>
      <c r="S34" s="211">
        <f>COUNTIF(E34:P34,"&gt;0")</f>
        <v>3</v>
      </c>
    </row>
    <row r="38" spans="1:17" s="223" customFormat="1" ht="15">
      <c r="A38" s="223" t="s">
        <v>121</v>
      </c>
      <c r="Q38" s="224"/>
    </row>
    <row r="40" spans="1:16" ht="31.5" customHeight="1">
      <c r="A40" s="580" t="s">
        <v>111</v>
      </c>
      <c r="B40" s="581"/>
      <c r="C40" s="580" t="s">
        <v>122</v>
      </c>
      <c r="D40" s="581"/>
      <c r="E40" s="226"/>
      <c r="F40" s="226"/>
      <c r="G40" s="226"/>
      <c r="H40" s="226"/>
      <c r="I40" s="226"/>
      <c r="J40" s="226"/>
      <c r="K40" s="226"/>
      <c r="L40" s="226"/>
      <c r="M40" s="226"/>
      <c r="N40" s="580" t="s">
        <v>123</v>
      </c>
      <c r="O40" s="722"/>
      <c r="P40" s="581"/>
    </row>
    <row r="41" spans="1:16" ht="19.5" customHeight="1">
      <c r="A41" s="590" t="s">
        <v>114</v>
      </c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591"/>
    </row>
    <row r="42" spans="1:20" ht="67.5" customHeight="1">
      <c r="A42" s="743" t="s">
        <v>124</v>
      </c>
      <c r="B42" s="744"/>
      <c r="C42" s="745">
        <f>C43+C46</f>
        <v>9414.59829</v>
      </c>
      <c r="D42" s="746"/>
      <c r="E42" s="271">
        <f>E43+E46</f>
        <v>2394.9598400000004</v>
      </c>
      <c r="F42" s="271">
        <f aca="true" t="shared" si="4" ref="F42:P42">F43+F46</f>
        <v>2172.8391</v>
      </c>
      <c r="G42" s="271">
        <f t="shared" si="4"/>
        <v>845.55913</v>
      </c>
      <c r="H42" s="271">
        <f t="shared" si="4"/>
        <v>0</v>
      </c>
      <c r="I42" s="271">
        <f t="shared" si="4"/>
        <v>0</v>
      </c>
      <c r="J42" s="271">
        <f t="shared" si="4"/>
        <v>0</v>
      </c>
      <c r="K42" s="271">
        <f t="shared" si="4"/>
        <v>0</v>
      </c>
      <c r="L42" s="271">
        <f t="shared" si="4"/>
        <v>0</v>
      </c>
      <c r="M42" s="271">
        <f t="shared" si="4"/>
        <v>0</v>
      </c>
      <c r="N42" s="271">
        <f t="shared" si="4"/>
        <v>0</v>
      </c>
      <c r="O42" s="271">
        <f t="shared" si="4"/>
        <v>0</v>
      </c>
      <c r="P42" s="271">
        <f t="shared" si="4"/>
        <v>0</v>
      </c>
      <c r="Q42" s="231">
        <f>Q43+Q46</f>
        <v>0</v>
      </c>
      <c r="R42" s="231">
        <f>R43+R46</f>
        <v>0</v>
      </c>
      <c r="T42" s="250">
        <f>C42-C58</f>
        <v>35.83165000000008</v>
      </c>
    </row>
    <row r="43" spans="1:20" s="233" customFormat="1" ht="67.5" customHeight="1">
      <c r="A43" s="736" t="s">
        <v>125</v>
      </c>
      <c r="B43" s="737"/>
      <c r="C43" s="740">
        <f>SUM(C44:D45)</f>
        <v>9206.51429</v>
      </c>
      <c r="D43" s="741"/>
      <c r="E43" s="347">
        <f>SUM(E44:E45)</f>
        <v>2376.9598400000004</v>
      </c>
      <c r="F43" s="347">
        <f aca="true" t="shared" si="5" ref="F43:M43">SUM(F44:F45)</f>
        <v>2172.8391</v>
      </c>
      <c r="G43" s="347">
        <f t="shared" si="5"/>
        <v>759.51713</v>
      </c>
      <c r="H43" s="347">
        <f t="shared" si="5"/>
        <v>0</v>
      </c>
      <c r="I43" s="347">
        <f t="shared" si="5"/>
        <v>0</v>
      </c>
      <c r="J43" s="347">
        <f t="shared" si="5"/>
        <v>0</v>
      </c>
      <c r="K43" s="347">
        <f t="shared" si="5"/>
        <v>0</v>
      </c>
      <c r="L43" s="347">
        <f t="shared" si="5"/>
        <v>0</v>
      </c>
      <c r="M43" s="347">
        <f t="shared" si="5"/>
        <v>0</v>
      </c>
      <c r="N43" s="347">
        <f>SUM(N44:N45)</f>
        <v>0</v>
      </c>
      <c r="O43" s="347">
        <f>SUM(O44:O45)</f>
        <v>0</v>
      </c>
      <c r="P43" s="347">
        <f>SUM(P44:P45)</f>
        <v>0</v>
      </c>
      <c r="Q43" s="232"/>
      <c r="T43" s="250">
        <f aca="true" t="shared" si="6" ref="T43:T56">C43-C59</f>
        <v>35.712649999999485</v>
      </c>
    </row>
    <row r="44" spans="1:20" ht="15.75" customHeight="1">
      <c r="A44" s="734" t="s">
        <v>116</v>
      </c>
      <c r="B44" s="735"/>
      <c r="C44" s="731">
        <f>SUM(E44:P44)+'[2]отчет1433-1'!C44:D44</f>
        <v>3675.64769</v>
      </c>
      <c r="D44" s="732"/>
      <c r="E44" s="234">
        <f>'[2]вспомогательная таблица'!G17/1000</f>
        <v>566.95</v>
      </c>
      <c r="F44" s="234">
        <f>'[2]вспомогательная таблица'!H17/1000</f>
        <v>726.47031</v>
      </c>
      <c r="G44" s="234">
        <f>'[2]вспомогательная таблица'!I17/1000</f>
        <v>352.21638</v>
      </c>
      <c r="H44" s="234"/>
      <c r="I44" s="234"/>
      <c r="J44" s="234"/>
      <c r="K44" s="234"/>
      <c r="L44" s="234"/>
      <c r="M44" s="234"/>
      <c r="N44" s="235"/>
      <c r="O44" s="235"/>
      <c r="P44" s="235"/>
      <c r="T44" s="250">
        <f t="shared" si="6"/>
        <v>-1349.6187100000006</v>
      </c>
    </row>
    <row r="45" spans="1:20" ht="15" customHeight="1">
      <c r="A45" s="734" t="s">
        <v>126</v>
      </c>
      <c r="B45" s="735"/>
      <c r="C45" s="731">
        <f>SUM(E45:P45)+'[2]отчет1433-1'!C45:D45</f>
        <v>5530.8666</v>
      </c>
      <c r="D45" s="732"/>
      <c r="E45" s="234">
        <f>'[2]вспомогательная таблица'!G18/1000</f>
        <v>1810.0098400000002</v>
      </c>
      <c r="F45" s="234">
        <f>'[2]вспомогательная таблица'!H18/1000</f>
        <v>1446.36879</v>
      </c>
      <c r="G45" s="234">
        <f>'[2]вспомогательная таблица'!I18/1000</f>
        <v>407.30075</v>
      </c>
      <c r="H45" s="234"/>
      <c r="I45" s="234"/>
      <c r="J45" s="234"/>
      <c r="K45" s="234"/>
      <c r="L45" s="234"/>
      <c r="M45" s="234"/>
      <c r="N45" s="236"/>
      <c r="O45" s="236"/>
      <c r="P45" s="236"/>
      <c r="T45" s="250">
        <f t="shared" si="6"/>
        <v>1385.331360000001</v>
      </c>
    </row>
    <row r="46" spans="1:20" s="233" customFormat="1" ht="68.25" customHeight="1">
      <c r="A46" s="736" t="s">
        <v>127</v>
      </c>
      <c r="B46" s="737"/>
      <c r="C46" s="740">
        <f>C47</f>
        <v>208.084</v>
      </c>
      <c r="D46" s="741"/>
      <c r="E46" s="347">
        <f aca="true" t="shared" si="7" ref="E46:P46">E47</f>
        <v>18</v>
      </c>
      <c r="F46" s="347">
        <f t="shared" si="7"/>
        <v>0</v>
      </c>
      <c r="G46" s="347">
        <f t="shared" si="7"/>
        <v>86.042</v>
      </c>
      <c r="H46" s="347">
        <f t="shared" si="7"/>
        <v>0</v>
      </c>
      <c r="I46" s="347">
        <f t="shared" si="7"/>
        <v>0</v>
      </c>
      <c r="J46" s="347">
        <f t="shared" si="7"/>
        <v>0</v>
      </c>
      <c r="K46" s="347">
        <f t="shared" si="7"/>
        <v>0</v>
      </c>
      <c r="L46" s="347">
        <f t="shared" si="7"/>
        <v>0</v>
      </c>
      <c r="M46" s="347">
        <f t="shared" si="7"/>
        <v>0</v>
      </c>
      <c r="N46" s="347">
        <f t="shared" si="7"/>
        <v>0</v>
      </c>
      <c r="O46" s="347">
        <f t="shared" si="7"/>
        <v>0</v>
      </c>
      <c r="P46" s="347">
        <f t="shared" si="7"/>
        <v>0</v>
      </c>
      <c r="Q46" s="232"/>
      <c r="T46" s="250">
        <f t="shared" si="6"/>
        <v>0.11899999999999977</v>
      </c>
    </row>
    <row r="47" spans="1:20" ht="15" customHeight="1">
      <c r="A47" s="734" t="s">
        <v>118</v>
      </c>
      <c r="B47" s="735"/>
      <c r="C47" s="731">
        <f>SUM(E47:P47)+'[2]отчет1433-1'!C47:D47</f>
        <v>208.084</v>
      </c>
      <c r="D47" s="732"/>
      <c r="E47" s="234">
        <f>'[2]вспомогательная таблица'!G19/1000</f>
        <v>18</v>
      </c>
      <c r="F47" s="234">
        <f>'[2]вспомогательная таблица'!D19/1000</f>
        <v>0</v>
      </c>
      <c r="G47" s="234">
        <f>'[2]вспомогательная таблица'!I19/1000</f>
        <v>86.042</v>
      </c>
      <c r="H47" s="234"/>
      <c r="I47" s="234"/>
      <c r="J47" s="234"/>
      <c r="K47" s="234"/>
      <c r="L47" s="234"/>
      <c r="M47" s="234"/>
      <c r="N47" s="239"/>
      <c r="O47" s="239"/>
      <c r="P47" s="239"/>
      <c r="T47" s="250">
        <f t="shared" si="6"/>
        <v>0.11899999999999977</v>
      </c>
    </row>
    <row r="48" spans="1:20" s="233" customFormat="1" ht="65.25" customHeight="1">
      <c r="A48" s="736" t="s">
        <v>128</v>
      </c>
      <c r="B48" s="737"/>
      <c r="C48" s="738">
        <f>SUM(C49:D56)</f>
        <v>94.873</v>
      </c>
      <c r="D48" s="739"/>
      <c r="E48" s="346">
        <f>SUM(E49:E56)</f>
        <v>64.798</v>
      </c>
      <c r="F48" s="346">
        <f>SUM(F49:F56)</f>
        <v>0</v>
      </c>
      <c r="G48" s="346">
        <f>SUM(E49:E56)</f>
        <v>64.798</v>
      </c>
      <c r="H48" s="346">
        <f aca="true" t="shared" si="8" ref="H48:P48">SUM(H49:H56)</f>
        <v>0</v>
      </c>
      <c r="I48" s="346">
        <f t="shared" si="8"/>
        <v>0</v>
      </c>
      <c r="J48" s="346">
        <f t="shared" si="8"/>
        <v>0</v>
      </c>
      <c r="K48" s="346">
        <f t="shared" si="8"/>
        <v>0</v>
      </c>
      <c r="L48" s="346">
        <f t="shared" si="8"/>
        <v>0</v>
      </c>
      <c r="M48" s="346">
        <f t="shared" si="8"/>
        <v>0</v>
      </c>
      <c r="N48" s="346">
        <f t="shared" si="8"/>
        <v>0</v>
      </c>
      <c r="O48" s="346">
        <f t="shared" si="8"/>
        <v>0</v>
      </c>
      <c r="P48" s="346">
        <f t="shared" si="8"/>
        <v>0</v>
      </c>
      <c r="Q48" s="232"/>
      <c r="T48" s="250">
        <f t="shared" si="6"/>
        <v>9.61</v>
      </c>
    </row>
    <row r="49" spans="1:20" ht="27" customHeight="1">
      <c r="A49" s="734" t="s">
        <v>129</v>
      </c>
      <c r="B49" s="735"/>
      <c r="C49" s="731">
        <f aca="true" t="shared" si="9" ref="C49:C55">SUM(E49:P49)</f>
        <v>0</v>
      </c>
      <c r="D49" s="732"/>
      <c r="E49" s="234"/>
      <c r="F49" s="234"/>
      <c r="G49" s="234"/>
      <c r="H49" s="234"/>
      <c r="I49" s="234"/>
      <c r="J49" s="234"/>
      <c r="K49" s="234"/>
      <c r="L49" s="234"/>
      <c r="M49" s="234"/>
      <c r="N49" s="239"/>
      <c r="O49" s="239"/>
      <c r="P49" s="239"/>
      <c r="T49" s="250">
        <f t="shared" si="6"/>
        <v>0</v>
      </c>
    </row>
    <row r="50" spans="1:20" ht="27.75" customHeight="1">
      <c r="A50" s="734" t="s">
        <v>42</v>
      </c>
      <c r="B50" s="735"/>
      <c r="C50" s="731">
        <f t="shared" si="9"/>
        <v>0</v>
      </c>
      <c r="D50" s="732"/>
      <c r="E50" s="234"/>
      <c r="F50" s="234"/>
      <c r="G50" s="234"/>
      <c r="H50" s="234"/>
      <c r="I50" s="234"/>
      <c r="J50" s="234"/>
      <c r="K50" s="234"/>
      <c r="L50" s="234"/>
      <c r="M50" s="234"/>
      <c r="N50" s="239"/>
      <c r="O50" s="239"/>
      <c r="P50" s="239"/>
      <c r="T50" s="250">
        <f t="shared" si="6"/>
        <v>0</v>
      </c>
    </row>
    <row r="51" spans="1:20" ht="26.25" customHeight="1">
      <c r="A51" s="734" t="s">
        <v>43</v>
      </c>
      <c r="B51" s="735"/>
      <c r="C51" s="731">
        <f t="shared" si="9"/>
        <v>0</v>
      </c>
      <c r="D51" s="732"/>
      <c r="E51" s="234"/>
      <c r="F51" s="234"/>
      <c r="G51" s="234"/>
      <c r="H51" s="234"/>
      <c r="I51" s="234"/>
      <c r="J51" s="234"/>
      <c r="K51" s="234"/>
      <c r="L51" s="234"/>
      <c r="M51" s="234"/>
      <c r="N51" s="239"/>
      <c r="O51" s="239"/>
      <c r="P51" s="239"/>
      <c r="T51" s="250">
        <f t="shared" si="6"/>
        <v>0</v>
      </c>
    </row>
    <row r="52" spans="1:20" ht="52.5" customHeight="1">
      <c r="A52" s="734" t="s">
        <v>44</v>
      </c>
      <c r="B52" s="735"/>
      <c r="C52" s="731">
        <f>SUM(E52:P52)</f>
        <v>0</v>
      </c>
      <c r="D52" s="732"/>
      <c r="E52" s="234"/>
      <c r="F52" s="234"/>
      <c r="G52" s="234"/>
      <c r="H52" s="234"/>
      <c r="I52" s="234"/>
      <c r="J52" s="234"/>
      <c r="K52" s="234"/>
      <c r="L52" s="234"/>
      <c r="M52" s="234"/>
      <c r="N52" s="239"/>
      <c r="O52" s="239"/>
      <c r="P52" s="239"/>
      <c r="T52" s="250">
        <f t="shared" si="6"/>
        <v>0</v>
      </c>
    </row>
    <row r="53" spans="1:20" ht="30" customHeight="1">
      <c r="A53" s="734" t="s">
        <v>130</v>
      </c>
      <c r="B53" s="735"/>
      <c r="C53" s="731">
        <f t="shared" si="9"/>
        <v>0</v>
      </c>
      <c r="D53" s="732"/>
      <c r="E53" s="234"/>
      <c r="F53" s="234"/>
      <c r="G53" s="234"/>
      <c r="H53" s="234"/>
      <c r="I53" s="234"/>
      <c r="J53" s="234"/>
      <c r="K53" s="234"/>
      <c r="L53" s="234"/>
      <c r="M53" s="234"/>
      <c r="N53" s="239"/>
      <c r="O53" s="239"/>
      <c r="P53" s="239"/>
      <c r="T53" s="250">
        <f t="shared" si="6"/>
        <v>0</v>
      </c>
    </row>
    <row r="54" spans="1:20" ht="15" customHeight="1">
      <c r="A54" s="734" t="s">
        <v>45</v>
      </c>
      <c r="B54" s="735"/>
      <c r="C54" s="731">
        <f t="shared" si="9"/>
        <v>0</v>
      </c>
      <c r="D54" s="732"/>
      <c r="E54" s="234">
        <f>'[2]мун.задание'!D135/1000</f>
        <v>0</v>
      </c>
      <c r="F54" s="234">
        <f>'[2]мун.задание'!E135/1000</f>
        <v>0</v>
      </c>
      <c r="G54" s="234">
        <f>'[2]мун.задание'!F135/1000</f>
        <v>0</v>
      </c>
      <c r="H54" s="234"/>
      <c r="I54" s="234"/>
      <c r="J54" s="234"/>
      <c r="K54" s="234"/>
      <c r="L54" s="234"/>
      <c r="M54" s="234"/>
      <c r="N54" s="239"/>
      <c r="O54" s="239"/>
      <c r="P54" s="239"/>
      <c r="T54" s="250">
        <f t="shared" si="6"/>
        <v>0</v>
      </c>
    </row>
    <row r="55" spans="1:20" ht="27.75" customHeight="1">
      <c r="A55" s="734" t="s">
        <v>46</v>
      </c>
      <c r="B55" s="735"/>
      <c r="C55" s="731">
        <f t="shared" si="9"/>
        <v>0</v>
      </c>
      <c r="D55" s="732"/>
      <c r="E55" s="234"/>
      <c r="F55" s="234"/>
      <c r="G55" s="234"/>
      <c r="H55" s="234"/>
      <c r="I55" s="234"/>
      <c r="J55" s="234"/>
      <c r="K55" s="234"/>
      <c r="L55" s="234"/>
      <c r="M55" s="234"/>
      <c r="N55" s="239"/>
      <c r="O55" s="239"/>
      <c r="P55" s="239"/>
      <c r="T55" s="250">
        <f t="shared" si="6"/>
        <v>0</v>
      </c>
    </row>
    <row r="56" spans="1:20" ht="30.75" customHeight="1">
      <c r="A56" s="734" t="s">
        <v>47</v>
      </c>
      <c r="B56" s="735"/>
      <c r="C56" s="731">
        <f>SUM(E56:P56)+'[2]отчет1433-1'!C56:D56</f>
        <v>94.873</v>
      </c>
      <c r="D56" s="732"/>
      <c r="E56" s="234">
        <f>'[2]мун.задание'!G138/1000</f>
        <v>64.798</v>
      </c>
      <c r="F56" s="234">
        <f>'[2]мун.задание'!H138/1000</f>
        <v>0</v>
      </c>
      <c r="G56" s="234">
        <f>'[2]мун.задание'!I138/1000</f>
        <v>0</v>
      </c>
      <c r="H56" s="234"/>
      <c r="I56" s="234"/>
      <c r="J56" s="234"/>
      <c r="K56" s="234"/>
      <c r="L56" s="234"/>
      <c r="M56" s="234"/>
      <c r="N56" s="239"/>
      <c r="O56" s="239"/>
      <c r="P56" s="239"/>
      <c r="T56" s="250">
        <f t="shared" si="6"/>
        <v>9.61</v>
      </c>
    </row>
    <row r="57" spans="1:20" ht="21.75" customHeight="1">
      <c r="A57" s="590" t="s">
        <v>119</v>
      </c>
      <c r="B57" s="742"/>
      <c r="C57" s="742"/>
      <c r="D57" s="742"/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591"/>
      <c r="T57" s="237"/>
    </row>
    <row r="58" spans="1:20" s="241" customFormat="1" ht="54.75" customHeight="1">
      <c r="A58" s="743" t="s">
        <v>124</v>
      </c>
      <c r="B58" s="744"/>
      <c r="C58" s="745">
        <f>C59+C62</f>
        <v>9378.76664</v>
      </c>
      <c r="D58" s="746"/>
      <c r="E58" s="271">
        <f aca="true" t="shared" si="10" ref="E58:P58">E59+E62</f>
        <v>2137.89644</v>
      </c>
      <c r="F58" s="271">
        <f t="shared" si="10"/>
        <v>1781.7428599999998</v>
      </c>
      <c r="G58" s="271">
        <f t="shared" si="10"/>
        <v>1457.8871199999999</v>
      </c>
      <c r="H58" s="271">
        <f t="shared" si="10"/>
        <v>0</v>
      </c>
      <c r="I58" s="271">
        <f t="shared" si="10"/>
        <v>0</v>
      </c>
      <c r="J58" s="271">
        <f t="shared" si="10"/>
        <v>0</v>
      </c>
      <c r="K58" s="271">
        <f t="shared" si="10"/>
        <v>0</v>
      </c>
      <c r="L58" s="271">
        <f t="shared" si="10"/>
        <v>0</v>
      </c>
      <c r="M58" s="271">
        <f t="shared" si="10"/>
        <v>0</v>
      </c>
      <c r="N58" s="271">
        <f t="shared" si="10"/>
        <v>0</v>
      </c>
      <c r="O58" s="271">
        <f t="shared" si="10"/>
        <v>0</v>
      </c>
      <c r="P58" s="271">
        <f t="shared" si="10"/>
        <v>0</v>
      </c>
      <c r="Q58" s="240"/>
      <c r="T58" s="242"/>
    </row>
    <row r="59" spans="1:20" ht="51.75" customHeight="1">
      <c r="A59" s="736" t="s">
        <v>125</v>
      </c>
      <c r="B59" s="737"/>
      <c r="C59" s="740">
        <f>SUM(C60:D61)</f>
        <v>9170.80164</v>
      </c>
      <c r="D59" s="741"/>
      <c r="E59" s="347">
        <f aca="true" t="shared" si="11" ref="E59:P59">SUM(E60:E61)</f>
        <v>2120.09144</v>
      </c>
      <c r="F59" s="347">
        <f t="shared" si="11"/>
        <v>1695.62486</v>
      </c>
      <c r="G59" s="347">
        <f t="shared" si="11"/>
        <v>1457.8871199999999</v>
      </c>
      <c r="H59" s="347">
        <f t="shared" si="11"/>
        <v>0</v>
      </c>
      <c r="I59" s="347">
        <f t="shared" si="11"/>
        <v>0</v>
      </c>
      <c r="J59" s="347">
        <f t="shared" si="11"/>
        <v>0</v>
      </c>
      <c r="K59" s="347">
        <f t="shared" si="11"/>
        <v>0</v>
      </c>
      <c r="L59" s="347">
        <f t="shared" si="11"/>
        <v>0</v>
      </c>
      <c r="M59" s="347">
        <f t="shared" si="11"/>
        <v>0</v>
      </c>
      <c r="N59" s="347">
        <f t="shared" si="11"/>
        <v>0</v>
      </c>
      <c r="O59" s="347">
        <f t="shared" si="11"/>
        <v>0</v>
      </c>
      <c r="P59" s="347">
        <f t="shared" si="11"/>
        <v>0</v>
      </c>
      <c r="T59" s="237"/>
    </row>
    <row r="60" spans="1:20" ht="12.75">
      <c r="A60" s="734" t="s">
        <v>116</v>
      </c>
      <c r="B60" s="735"/>
      <c r="C60" s="731">
        <f>SUM(E60:P60)+'[2]отчет1433-1'!C60:D60</f>
        <v>5025.2664</v>
      </c>
      <c r="D60" s="732"/>
      <c r="E60" s="234">
        <f>'[2]касса'!G17/1000</f>
        <v>1177.2754</v>
      </c>
      <c r="F60" s="234">
        <f>'[2]касса'!H17/1000</f>
        <v>970.266</v>
      </c>
      <c r="G60" s="234">
        <f>'[2]касса'!I17/1000</f>
        <v>660.274</v>
      </c>
      <c r="H60" s="234"/>
      <c r="I60" s="234"/>
      <c r="J60" s="234"/>
      <c r="K60" s="234"/>
      <c r="L60" s="234"/>
      <c r="M60" s="234"/>
      <c r="N60" s="235"/>
      <c r="O60" s="235"/>
      <c r="P60" s="235"/>
      <c r="T60" s="237"/>
    </row>
    <row r="61" spans="1:20" ht="12.75">
      <c r="A61" s="734" t="s">
        <v>126</v>
      </c>
      <c r="B61" s="735"/>
      <c r="C61" s="731">
        <f>SUM(E61:P61)+'[2]отчет1433-1'!C61:D61</f>
        <v>4145.535239999999</v>
      </c>
      <c r="D61" s="732"/>
      <c r="E61" s="234">
        <f>'[2]касса'!G18/1000</f>
        <v>942.8160399999999</v>
      </c>
      <c r="F61" s="234">
        <f>'[2]касса'!H18/1000</f>
        <v>725.3588599999999</v>
      </c>
      <c r="G61" s="234">
        <f>'[2]касса'!I18/1000</f>
        <v>797.6131199999999</v>
      </c>
      <c r="H61" s="234"/>
      <c r="I61" s="234"/>
      <c r="J61" s="234"/>
      <c r="K61" s="234"/>
      <c r="L61" s="234"/>
      <c r="M61" s="234"/>
      <c r="N61" s="236"/>
      <c r="O61" s="236"/>
      <c r="P61" s="236"/>
      <c r="T61" s="237"/>
    </row>
    <row r="62" spans="1:21" ht="54" customHeight="1">
      <c r="A62" s="736" t="s">
        <v>127</v>
      </c>
      <c r="B62" s="737"/>
      <c r="C62" s="740">
        <f>C63</f>
        <v>207.965</v>
      </c>
      <c r="D62" s="741"/>
      <c r="E62" s="347">
        <f aca="true" t="shared" si="12" ref="E62:P62">E63</f>
        <v>17.805</v>
      </c>
      <c r="F62" s="347">
        <f t="shared" si="12"/>
        <v>86.118</v>
      </c>
      <c r="G62" s="347">
        <f t="shared" si="12"/>
        <v>0</v>
      </c>
      <c r="H62" s="347">
        <f t="shared" si="12"/>
        <v>0</v>
      </c>
      <c r="I62" s="347">
        <f t="shared" si="12"/>
        <v>0</v>
      </c>
      <c r="J62" s="347">
        <f t="shared" si="12"/>
        <v>0</v>
      </c>
      <c r="K62" s="347">
        <f t="shared" si="12"/>
        <v>0</v>
      </c>
      <c r="L62" s="347">
        <f t="shared" si="12"/>
        <v>0</v>
      </c>
      <c r="M62" s="347">
        <f t="shared" si="12"/>
        <v>0</v>
      </c>
      <c r="N62" s="347">
        <f t="shared" si="12"/>
        <v>0</v>
      </c>
      <c r="O62" s="347">
        <f t="shared" si="12"/>
        <v>0</v>
      </c>
      <c r="P62" s="347">
        <f t="shared" si="12"/>
        <v>0</v>
      </c>
      <c r="T62" s="237"/>
      <c r="U62" s="237"/>
    </row>
    <row r="63" spans="1:21" ht="16.5" customHeight="1">
      <c r="A63" s="734" t="s">
        <v>118</v>
      </c>
      <c r="B63" s="735"/>
      <c r="C63" s="731">
        <f>SUM(E63:P63)+'[2]отчет1433-1'!C63:D63</f>
        <v>207.965</v>
      </c>
      <c r="D63" s="732"/>
      <c r="E63" s="234">
        <f>'[2]касса'!G19/1000</f>
        <v>17.805</v>
      </c>
      <c r="F63" s="234">
        <f>'[2]касса'!H19/1000</f>
        <v>86.118</v>
      </c>
      <c r="G63" s="234">
        <f>'[2]касса'!E19/1000</f>
        <v>0</v>
      </c>
      <c r="H63" s="234"/>
      <c r="I63" s="234"/>
      <c r="J63" s="234"/>
      <c r="K63" s="234"/>
      <c r="L63" s="234"/>
      <c r="M63" s="234"/>
      <c r="N63" s="234"/>
      <c r="O63" s="234"/>
      <c r="P63" s="234"/>
      <c r="T63" s="237"/>
      <c r="U63" s="237"/>
    </row>
    <row r="64" spans="1:19" ht="53.25" customHeight="1">
      <c r="A64" s="736" t="s">
        <v>128</v>
      </c>
      <c r="B64" s="737"/>
      <c r="C64" s="738">
        <f>SUM(C65:D72)</f>
        <v>85.263</v>
      </c>
      <c r="D64" s="739"/>
      <c r="E64" s="346">
        <f aca="true" t="shared" si="13" ref="E64:P64">SUM(E65:E72)</f>
        <v>0</v>
      </c>
      <c r="F64" s="346">
        <f t="shared" si="13"/>
        <v>39.5295</v>
      </c>
      <c r="G64" s="346">
        <f t="shared" si="13"/>
        <v>15.6585</v>
      </c>
      <c r="H64" s="346">
        <f t="shared" si="13"/>
        <v>0</v>
      </c>
      <c r="I64" s="346">
        <f t="shared" si="13"/>
        <v>0</v>
      </c>
      <c r="J64" s="346">
        <f t="shared" si="13"/>
        <v>0</v>
      </c>
      <c r="K64" s="346">
        <f t="shared" si="13"/>
        <v>0</v>
      </c>
      <c r="L64" s="346">
        <f t="shared" si="13"/>
        <v>0</v>
      </c>
      <c r="M64" s="346">
        <f t="shared" si="13"/>
        <v>0</v>
      </c>
      <c r="N64" s="346">
        <f t="shared" si="13"/>
        <v>0</v>
      </c>
      <c r="O64" s="346">
        <f t="shared" si="13"/>
        <v>0</v>
      </c>
      <c r="P64" s="346">
        <f t="shared" si="13"/>
        <v>0</v>
      </c>
      <c r="Q64" s="211"/>
      <c r="R64" s="237"/>
      <c r="S64" s="237"/>
    </row>
    <row r="65" spans="1:21" ht="28.5" customHeight="1">
      <c r="A65" s="734" t="s">
        <v>129</v>
      </c>
      <c r="B65" s="735"/>
      <c r="C65" s="731">
        <f aca="true" t="shared" si="14" ref="C65:C71">SUM(E65:P65)</f>
        <v>0</v>
      </c>
      <c r="D65" s="732"/>
      <c r="E65" s="234"/>
      <c r="F65" s="234"/>
      <c r="G65" s="234"/>
      <c r="H65" s="234"/>
      <c r="I65" s="234"/>
      <c r="J65" s="234"/>
      <c r="K65" s="234"/>
      <c r="L65" s="234"/>
      <c r="M65" s="234"/>
      <c r="N65" s="239"/>
      <c r="O65" s="239"/>
      <c r="P65" s="239"/>
      <c r="T65" s="237"/>
      <c r="U65" s="237"/>
    </row>
    <row r="66" spans="1:21" ht="15.75" customHeight="1">
      <c r="A66" s="734" t="s">
        <v>42</v>
      </c>
      <c r="B66" s="735"/>
      <c r="C66" s="731">
        <f t="shared" si="14"/>
        <v>0</v>
      </c>
      <c r="D66" s="732"/>
      <c r="E66" s="234"/>
      <c r="F66" s="234"/>
      <c r="G66" s="234"/>
      <c r="H66" s="234"/>
      <c r="I66" s="234"/>
      <c r="J66" s="234"/>
      <c r="K66" s="234"/>
      <c r="L66" s="234"/>
      <c r="M66" s="234"/>
      <c r="N66" s="239"/>
      <c r="O66" s="239"/>
      <c r="P66" s="239"/>
      <c r="T66" s="237"/>
      <c r="U66" s="237"/>
    </row>
    <row r="67" spans="1:21" ht="27.75" customHeight="1">
      <c r="A67" s="734" t="s">
        <v>43</v>
      </c>
      <c r="B67" s="735"/>
      <c r="C67" s="731">
        <f t="shared" si="14"/>
        <v>0</v>
      </c>
      <c r="D67" s="732"/>
      <c r="E67" s="234"/>
      <c r="F67" s="234"/>
      <c r="G67" s="234"/>
      <c r="H67" s="234"/>
      <c r="I67" s="234"/>
      <c r="J67" s="234"/>
      <c r="K67" s="234"/>
      <c r="L67" s="234"/>
      <c r="M67" s="234"/>
      <c r="N67" s="239"/>
      <c r="O67" s="239"/>
      <c r="P67" s="239"/>
      <c r="T67" s="237"/>
      <c r="U67" s="237"/>
    </row>
    <row r="68" spans="1:21" ht="27.75" customHeight="1">
      <c r="A68" s="734" t="s">
        <v>44</v>
      </c>
      <c r="B68" s="735"/>
      <c r="C68" s="731">
        <f t="shared" si="14"/>
        <v>0</v>
      </c>
      <c r="D68" s="732"/>
      <c r="E68" s="234"/>
      <c r="F68" s="234"/>
      <c r="G68" s="234"/>
      <c r="H68" s="234"/>
      <c r="I68" s="234"/>
      <c r="J68" s="234"/>
      <c r="K68" s="234"/>
      <c r="L68" s="234"/>
      <c r="M68" s="234"/>
      <c r="N68" s="239"/>
      <c r="O68" s="239"/>
      <c r="P68" s="239"/>
      <c r="T68" s="237"/>
      <c r="U68" s="237"/>
    </row>
    <row r="69" spans="1:21" ht="27" customHeight="1">
      <c r="A69" s="734" t="s">
        <v>130</v>
      </c>
      <c r="B69" s="735"/>
      <c r="C69" s="731">
        <f t="shared" si="14"/>
        <v>0</v>
      </c>
      <c r="D69" s="732"/>
      <c r="E69" s="234"/>
      <c r="F69" s="234"/>
      <c r="G69" s="234"/>
      <c r="H69" s="234"/>
      <c r="I69" s="234"/>
      <c r="J69" s="234"/>
      <c r="K69" s="234"/>
      <c r="L69" s="234"/>
      <c r="M69" s="234"/>
      <c r="N69" s="239"/>
      <c r="O69" s="239"/>
      <c r="P69" s="239"/>
      <c r="T69" s="237"/>
      <c r="U69" s="237"/>
    </row>
    <row r="70" spans="1:21" ht="37.5" customHeight="1">
      <c r="A70" s="734" t="s">
        <v>45</v>
      </c>
      <c r="B70" s="735"/>
      <c r="C70" s="731">
        <f t="shared" si="14"/>
        <v>0</v>
      </c>
      <c r="D70" s="732"/>
      <c r="E70" s="234"/>
      <c r="F70" s="234"/>
      <c r="G70" s="234"/>
      <c r="H70" s="234"/>
      <c r="I70" s="234"/>
      <c r="J70" s="234"/>
      <c r="K70" s="234"/>
      <c r="L70" s="234"/>
      <c r="M70" s="234"/>
      <c r="N70" s="239"/>
      <c r="O70" s="239"/>
      <c r="P70" s="239"/>
      <c r="T70" s="237"/>
      <c r="U70" s="237"/>
    </row>
    <row r="71" spans="1:21" ht="27.75" customHeight="1">
      <c r="A71" s="734" t="s">
        <v>46</v>
      </c>
      <c r="B71" s="735"/>
      <c r="C71" s="731">
        <f t="shared" si="14"/>
        <v>0</v>
      </c>
      <c r="D71" s="732"/>
      <c r="E71" s="234"/>
      <c r="F71" s="234"/>
      <c r="G71" s="234"/>
      <c r="H71" s="234"/>
      <c r="I71" s="234"/>
      <c r="J71" s="234"/>
      <c r="K71" s="234"/>
      <c r="L71" s="234"/>
      <c r="M71" s="234"/>
      <c r="N71" s="239"/>
      <c r="O71" s="239"/>
      <c r="P71" s="239"/>
      <c r="T71" s="237"/>
      <c r="U71" s="237"/>
    </row>
    <row r="72" spans="1:21" ht="27.75" customHeight="1">
      <c r="A72" s="734" t="s">
        <v>47</v>
      </c>
      <c r="B72" s="735"/>
      <c r="C72" s="731">
        <f>SUM(E72:P72)+'[2]отчет1433-1'!C72:D72</f>
        <v>85.263</v>
      </c>
      <c r="D72" s="732"/>
      <c r="E72" s="234"/>
      <c r="F72" s="234">
        <v>39.5295</v>
      </c>
      <c r="G72" s="234">
        <v>15.6585</v>
      </c>
      <c r="H72" s="234"/>
      <c r="I72" s="234"/>
      <c r="J72" s="234"/>
      <c r="K72" s="234"/>
      <c r="L72" s="234"/>
      <c r="M72" s="234"/>
      <c r="N72" s="239"/>
      <c r="O72" s="239"/>
      <c r="P72" s="239"/>
      <c r="T72" s="237"/>
      <c r="U72" s="237"/>
    </row>
    <row r="74" spans="14:16" ht="12.75">
      <c r="N74" s="237"/>
      <c r="O74" s="237"/>
      <c r="P74" s="237"/>
    </row>
    <row r="75" spans="1:17" s="223" customFormat="1" ht="15">
      <c r="A75" s="223" t="s">
        <v>131</v>
      </c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P75" s="243"/>
      <c r="Q75" s="224"/>
    </row>
    <row r="76" spans="4:17" s="223" customFormat="1" ht="15" hidden="1"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P76" s="243"/>
      <c r="Q76" s="224"/>
    </row>
    <row r="77" spans="1:17" s="223" customFormat="1" ht="15">
      <c r="A77" s="223" t="s">
        <v>132</v>
      </c>
      <c r="P77" s="243"/>
      <c r="Q77" s="224"/>
    </row>
    <row r="78" spans="14:17" s="214" customFormat="1" ht="15">
      <c r="N78" s="244"/>
      <c r="Q78" s="217"/>
    </row>
    <row r="79" spans="1:9" s="214" customFormat="1" ht="15" customHeight="1">
      <c r="A79" s="726" t="s">
        <v>133</v>
      </c>
      <c r="B79" s="726" t="s">
        <v>102</v>
      </c>
      <c r="C79" s="727" t="s">
        <v>134</v>
      </c>
      <c r="D79" s="728"/>
      <c r="E79" s="245"/>
      <c r="F79" s="717" t="s">
        <v>135</v>
      </c>
      <c r="G79" s="718"/>
      <c r="I79" s="217"/>
    </row>
    <row r="80" spans="1:9" s="214" customFormat="1" ht="15" customHeight="1">
      <c r="A80" s="726"/>
      <c r="B80" s="726"/>
      <c r="C80" s="729"/>
      <c r="D80" s="730"/>
      <c r="E80" s="246"/>
      <c r="F80" s="719"/>
      <c r="G80" s="720"/>
      <c r="I80" s="217"/>
    </row>
    <row r="81" spans="1:9" s="214" customFormat="1" ht="24.75" customHeight="1">
      <c r="A81" s="247"/>
      <c r="B81" s="248"/>
      <c r="C81" s="590"/>
      <c r="D81" s="591"/>
      <c r="E81" s="228" t="s">
        <v>136</v>
      </c>
      <c r="F81" s="715" t="s">
        <v>136</v>
      </c>
      <c r="G81" s="716"/>
      <c r="I81" s="217"/>
    </row>
    <row r="82" spans="1:9" s="214" customFormat="1" ht="25.5" customHeight="1">
      <c r="A82" s="247"/>
      <c r="B82" s="248"/>
      <c r="C82" s="590"/>
      <c r="D82" s="591"/>
      <c r="E82" s="228"/>
      <c r="F82" s="715"/>
      <c r="G82" s="716"/>
      <c r="I82" s="217"/>
    </row>
    <row r="83" spans="1:9" s="214" customFormat="1" ht="26.25" customHeight="1">
      <c r="A83" s="247"/>
      <c r="B83" s="248"/>
      <c r="C83" s="590"/>
      <c r="D83" s="591"/>
      <c r="E83" s="228"/>
      <c r="F83" s="715"/>
      <c r="G83" s="716"/>
      <c r="I83" s="217"/>
    </row>
    <row r="84" spans="6:17" ht="15">
      <c r="F84" s="249"/>
      <c r="I84" s="213"/>
      <c r="Q84" s="211"/>
    </row>
    <row r="85" spans="6:17" ht="15">
      <c r="F85" s="249"/>
      <c r="I85" s="213"/>
      <c r="Q85" s="211"/>
    </row>
    <row r="86" spans="1:9" s="223" customFormat="1" ht="15">
      <c r="A86" s="223" t="s">
        <v>137</v>
      </c>
      <c r="F86" s="244"/>
      <c r="I86" s="224"/>
    </row>
    <row r="87" spans="6:17" ht="15">
      <c r="F87" s="249"/>
      <c r="I87" s="213"/>
      <c r="Q87" s="211"/>
    </row>
    <row r="88" spans="1:17" ht="12.75" customHeight="1">
      <c r="A88" s="726" t="s">
        <v>133</v>
      </c>
      <c r="B88" s="726" t="s">
        <v>102</v>
      </c>
      <c r="C88" s="727" t="s">
        <v>138</v>
      </c>
      <c r="D88" s="728"/>
      <c r="E88" s="245"/>
      <c r="F88" s="717" t="s">
        <v>139</v>
      </c>
      <c r="G88" s="718"/>
      <c r="I88" s="213"/>
      <c r="Q88" s="211"/>
    </row>
    <row r="89" spans="1:17" ht="12.75">
      <c r="A89" s="726"/>
      <c r="B89" s="726"/>
      <c r="C89" s="729"/>
      <c r="D89" s="730"/>
      <c r="E89" s="246"/>
      <c r="F89" s="719"/>
      <c r="G89" s="720"/>
      <c r="I89" s="213"/>
      <c r="Q89" s="211"/>
    </row>
    <row r="90" spans="1:17" ht="24.75" customHeight="1">
      <c r="A90" s="247"/>
      <c r="B90" s="248"/>
      <c r="C90" s="590"/>
      <c r="D90" s="591"/>
      <c r="E90" s="228" t="s">
        <v>136</v>
      </c>
      <c r="F90" s="715" t="s">
        <v>136</v>
      </c>
      <c r="G90" s="716"/>
      <c r="I90" s="213"/>
      <c r="Q90" s="211"/>
    </row>
    <row r="91" spans="1:17" ht="23.25" customHeight="1">
      <c r="A91" s="247"/>
      <c r="B91" s="248"/>
      <c r="C91" s="590"/>
      <c r="D91" s="591"/>
      <c r="E91" s="228"/>
      <c r="F91" s="715"/>
      <c r="G91" s="716"/>
      <c r="I91" s="213"/>
      <c r="Q91" s="211"/>
    </row>
    <row r="92" spans="1:17" ht="26.25" customHeight="1">
      <c r="A92" s="247"/>
      <c r="B92" s="248"/>
      <c r="C92" s="590"/>
      <c r="D92" s="591"/>
      <c r="E92" s="228"/>
      <c r="F92" s="715"/>
      <c r="G92" s="716"/>
      <c r="I92" s="213"/>
      <c r="Q92" s="211"/>
    </row>
    <row r="93" spans="4:14" ht="15"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49"/>
    </row>
    <row r="94" ht="15">
      <c r="N94" s="249"/>
    </row>
    <row r="95" spans="1:17" s="251" customFormat="1" ht="15">
      <c r="A95" s="223" t="s">
        <v>140</v>
      </c>
      <c r="B95" s="223"/>
      <c r="N95" s="249"/>
      <c r="Q95" s="252"/>
    </row>
    <row r="96" ht="15">
      <c r="N96" s="249"/>
    </row>
    <row r="97" spans="1:5" s="214" customFormat="1" ht="15" customHeight="1">
      <c r="A97" s="726" t="s">
        <v>133</v>
      </c>
      <c r="B97" s="726" t="s">
        <v>141</v>
      </c>
      <c r="C97" s="726" t="s">
        <v>52</v>
      </c>
      <c r="D97" s="726" t="s">
        <v>53</v>
      </c>
      <c r="E97" s="733" t="s">
        <v>142</v>
      </c>
    </row>
    <row r="98" spans="1:5" s="214" customFormat="1" ht="22.5" customHeight="1">
      <c r="A98" s="726"/>
      <c r="B98" s="726"/>
      <c r="C98" s="726"/>
      <c r="D98" s="726"/>
      <c r="E98" s="733"/>
    </row>
    <row r="99" spans="1:5" s="214" customFormat="1" ht="63.75">
      <c r="A99" s="247">
        <v>1</v>
      </c>
      <c r="B99" s="253" t="s">
        <v>60</v>
      </c>
      <c r="C99" s="254"/>
      <c r="D99" s="255" t="s">
        <v>143</v>
      </c>
      <c r="E99" s="255" t="s">
        <v>143</v>
      </c>
    </row>
    <row r="100" spans="1:17" ht="13.5" customHeight="1">
      <c r="A100" s="247">
        <v>2</v>
      </c>
      <c r="B100" s="256" t="s">
        <v>61</v>
      </c>
      <c r="C100" s="254"/>
      <c r="D100" s="227" t="s">
        <v>62</v>
      </c>
      <c r="E100" s="230" t="s">
        <v>136</v>
      </c>
      <c r="Q100" s="211"/>
    </row>
    <row r="101" spans="1:17" ht="38.25">
      <c r="A101" s="247">
        <v>3</v>
      </c>
      <c r="B101" s="256" t="s">
        <v>63</v>
      </c>
      <c r="C101" s="254"/>
      <c r="D101" s="227" t="s">
        <v>64</v>
      </c>
      <c r="E101" s="227" t="s">
        <v>64</v>
      </c>
      <c r="Q101" s="211"/>
    </row>
    <row r="102" spans="1:17" ht="39" customHeight="1">
      <c r="A102" s="247">
        <v>4</v>
      </c>
      <c r="B102" s="256" t="s">
        <v>63</v>
      </c>
      <c r="C102" s="254"/>
      <c r="D102" s="257" t="s">
        <v>65</v>
      </c>
      <c r="E102" s="257" t="s">
        <v>65</v>
      </c>
      <c r="Q102" s="211"/>
    </row>
    <row r="103" spans="1:17" ht="12.75">
      <c r="A103" s="258"/>
      <c r="B103" s="259"/>
      <c r="C103" s="260"/>
      <c r="D103" s="260"/>
      <c r="E103" s="260"/>
      <c r="F103" s="260"/>
      <c r="H103" s="260"/>
      <c r="K103" s="213"/>
      <c r="Q103" s="211"/>
    </row>
    <row r="104" spans="1:17" ht="12.75">
      <c r="A104" s="258"/>
      <c r="B104" s="259"/>
      <c r="C104" s="260"/>
      <c r="D104" s="260"/>
      <c r="E104" s="260"/>
      <c r="F104" s="260"/>
      <c r="H104" s="260"/>
      <c r="K104" s="213"/>
      <c r="Q104" s="211"/>
    </row>
    <row r="105" spans="1:17" ht="12.75">
      <c r="A105" s="258"/>
      <c r="B105" s="259"/>
      <c r="C105" s="260"/>
      <c r="D105" s="260"/>
      <c r="E105" s="260"/>
      <c r="F105" s="260"/>
      <c r="H105" s="260"/>
      <c r="K105" s="213"/>
      <c r="Q105" s="211"/>
    </row>
    <row r="106" spans="1:11" s="223" customFormat="1" ht="15">
      <c r="A106" s="223" t="s">
        <v>144</v>
      </c>
      <c r="K106" s="224"/>
    </row>
    <row r="107" spans="11:17" ht="12.75">
      <c r="K107" s="213"/>
      <c r="Q107" s="211"/>
    </row>
    <row r="108" spans="1:5" s="214" customFormat="1" ht="51">
      <c r="A108" s="723" t="s">
        <v>145</v>
      </c>
      <c r="B108" s="723"/>
      <c r="C108" s="227" t="s">
        <v>78</v>
      </c>
      <c r="D108" s="225" t="s">
        <v>146</v>
      </c>
      <c r="E108" s="227" t="s">
        <v>147</v>
      </c>
    </row>
    <row r="109" spans="1:5" s="214" customFormat="1" ht="42" customHeight="1">
      <c r="A109" s="724" t="s">
        <v>107</v>
      </c>
      <c r="B109" s="724"/>
      <c r="C109" s="227" t="s">
        <v>168</v>
      </c>
      <c r="D109" s="272">
        <f>C58+C64</f>
        <v>9464.02964</v>
      </c>
      <c r="E109" s="247">
        <f>D31</f>
        <v>152</v>
      </c>
    </row>
    <row r="111" s="261" customFormat="1" ht="13.5" customHeight="1" thickBot="1"/>
    <row r="112" spans="1:2" s="261" customFormat="1" ht="15">
      <c r="A112" s="262" t="s">
        <v>22</v>
      </c>
      <c r="B112" s="263" t="s">
        <v>148</v>
      </c>
    </row>
    <row r="113" spans="1:17" s="214" customFormat="1" ht="15">
      <c r="A113" s="223" t="s">
        <v>149</v>
      </c>
      <c r="Q113" s="217"/>
    </row>
    <row r="114" spans="1:17" s="214" customFormat="1" ht="15">
      <c r="A114" s="223"/>
      <c r="Q114" s="217"/>
    </row>
    <row r="115" spans="1:17" s="251" customFormat="1" ht="17.25" customHeight="1">
      <c r="A115" s="725" t="s">
        <v>150</v>
      </c>
      <c r="B115" s="725"/>
      <c r="C115" s="725"/>
      <c r="D115" s="725"/>
      <c r="E115" s="725"/>
      <c r="F115" s="725"/>
      <c r="G115" s="725"/>
      <c r="H115" s="725"/>
      <c r="I115" s="725"/>
      <c r="J115" s="725"/>
      <c r="K115" s="725"/>
      <c r="L115" s="725"/>
      <c r="M115" s="725"/>
      <c r="N115" s="725"/>
      <c r="O115" s="725"/>
      <c r="Q115" s="252"/>
    </row>
    <row r="117" spans="1:17" ht="12.75">
      <c r="A117" s="747" t="s">
        <v>177</v>
      </c>
      <c r="B117" s="747"/>
      <c r="C117" s="747"/>
      <c r="D117" s="747"/>
      <c r="E117" s="264"/>
      <c r="G117" s="213"/>
      <c r="Q117" s="211"/>
    </row>
    <row r="118" spans="1:17" ht="17.25" customHeight="1">
      <c r="A118" s="265"/>
      <c r="B118" s="265"/>
      <c r="C118" s="265"/>
      <c r="D118" s="265"/>
      <c r="E118" s="265"/>
      <c r="G118" s="213"/>
      <c r="Q118" s="211"/>
    </row>
    <row r="119" spans="1:17" ht="17.25" customHeight="1">
      <c r="A119" s="265"/>
      <c r="B119" s="265"/>
      <c r="C119" s="265"/>
      <c r="D119" s="265"/>
      <c r="E119" s="265"/>
      <c r="G119" s="213"/>
      <c r="Q119" s="211"/>
    </row>
    <row r="120" spans="1:17" ht="12.75">
      <c r="A120" s="260"/>
      <c r="B120" s="260"/>
      <c r="C120" s="260"/>
      <c r="D120" s="260"/>
      <c r="E120" s="260"/>
      <c r="G120" s="213"/>
      <c r="Q120" s="211"/>
    </row>
    <row r="121" ht="12.75" hidden="1"/>
    <row r="123" spans="1:17" s="214" customFormat="1" ht="36" customHeight="1">
      <c r="A123" s="725" t="s">
        <v>151</v>
      </c>
      <c r="B123" s="725"/>
      <c r="C123" s="725"/>
      <c r="D123" s="725"/>
      <c r="E123" s="725"/>
      <c r="F123" s="725"/>
      <c r="G123" s="725"/>
      <c r="H123" s="725"/>
      <c r="I123" s="725"/>
      <c r="J123" s="725"/>
      <c r="K123" s="725"/>
      <c r="L123" s="725"/>
      <c r="M123" s="725"/>
      <c r="N123" s="725"/>
      <c r="O123" s="725"/>
      <c r="Q123" s="217"/>
    </row>
    <row r="125" spans="1:17" ht="12.75">
      <c r="A125" s="264" t="s">
        <v>178</v>
      </c>
      <c r="B125" s="264"/>
      <c r="C125" s="264"/>
      <c r="D125" s="264"/>
      <c r="E125" s="264"/>
      <c r="F125" s="264"/>
      <c r="G125" s="213"/>
      <c r="Q125" s="211"/>
    </row>
    <row r="126" spans="1:17" ht="17.25" customHeight="1">
      <c r="A126" s="265"/>
      <c r="B126" s="265"/>
      <c r="C126" s="265"/>
      <c r="D126" s="265"/>
      <c r="E126" s="265"/>
      <c r="G126" s="213"/>
      <c r="Q126" s="211"/>
    </row>
    <row r="127" spans="1:17" ht="15.75" customHeight="1">
      <c r="A127" s="265"/>
      <c r="B127" s="265"/>
      <c r="C127" s="265"/>
      <c r="D127" s="265"/>
      <c r="E127" s="265"/>
      <c r="G127" s="213"/>
      <c r="Q127" s="211"/>
    </row>
    <row r="128" spans="1:17" ht="12.75">
      <c r="A128" s="260"/>
      <c r="B128" s="260"/>
      <c r="C128" s="260"/>
      <c r="D128" s="260"/>
      <c r="E128" s="260"/>
      <c r="G128" s="213"/>
      <c r="Q128" s="211"/>
    </row>
    <row r="129" spans="7:17" ht="12.75">
      <c r="G129" s="213"/>
      <c r="Q129" s="211"/>
    </row>
    <row r="130" spans="1:17" s="223" customFormat="1" ht="27.75" customHeight="1">
      <c r="A130" s="223" t="s">
        <v>152</v>
      </c>
      <c r="Q130" s="224"/>
    </row>
    <row r="131" spans="2:17" ht="12.75">
      <c r="B131" s="260"/>
      <c r="G131" s="213"/>
      <c r="Q131" s="211"/>
    </row>
    <row r="132" spans="1:17" ht="12.75">
      <c r="A132" s="266"/>
      <c r="B132" s="266" t="s">
        <v>179</v>
      </c>
      <c r="C132" s="266"/>
      <c r="D132" s="266"/>
      <c r="E132" s="266"/>
      <c r="G132" s="213"/>
      <c r="Q132" s="211"/>
    </row>
    <row r="133" spans="1:17" ht="16.5" customHeight="1">
      <c r="A133" s="265"/>
      <c r="B133" s="265"/>
      <c r="C133" s="265"/>
      <c r="D133" s="265"/>
      <c r="E133" s="265"/>
      <c r="G133" s="213"/>
      <c r="Q133" s="211"/>
    </row>
    <row r="134" spans="1:17" ht="15.75" customHeight="1">
      <c r="A134" s="265"/>
      <c r="B134" s="265"/>
      <c r="C134" s="265"/>
      <c r="D134" s="265"/>
      <c r="E134" s="265"/>
      <c r="G134" s="213"/>
      <c r="Q134" s="211"/>
    </row>
    <row r="135" spans="1:14" ht="12.75">
      <c r="A135" s="260"/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</row>
    <row r="136" spans="1:14" ht="12.75">
      <c r="A136" s="260"/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</row>
    <row r="137" spans="1:14" ht="12.75">
      <c r="A137" s="260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</row>
    <row r="140" spans="1:13" s="214" customFormat="1" ht="16.5">
      <c r="A140" s="721" t="s">
        <v>170</v>
      </c>
      <c r="B140" s="721"/>
      <c r="D140" s="273"/>
      <c r="L140" s="273" t="s">
        <v>364</v>
      </c>
      <c r="M140" s="214" t="s">
        <v>101</v>
      </c>
    </row>
    <row r="141" spans="1:17" s="214" customFormat="1" ht="16.5">
      <c r="A141" s="267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Q141" s="217"/>
    </row>
    <row r="142" spans="1:16" s="214" customFormat="1" ht="16.5">
      <c r="A142" s="267"/>
      <c r="B142" s="224" t="s">
        <v>102</v>
      </c>
      <c r="C142" s="342">
        <v>41456</v>
      </c>
      <c r="D142" s="224" t="s">
        <v>103</v>
      </c>
      <c r="E142" s="224"/>
      <c r="F142" s="224"/>
      <c r="G142" s="224"/>
      <c r="H142" s="224"/>
      <c r="I142" s="224"/>
      <c r="J142" s="224"/>
      <c r="K142" s="224"/>
      <c r="L142" s="224"/>
      <c r="M142" s="224"/>
      <c r="P142" s="217"/>
    </row>
    <row r="143" spans="1:3" ht="21" customHeight="1">
      <c r="A143" s="269"/>
      <c r="B143" s="270"/>
      <c r="C143" s="270"/>
    </row>
    <row r="144" spans="1:3" ht="16.5" customHeight="1">
      <c r="A144" s="269"/>
      <c r="B144" s="270"/>
      <c r="C144" s="270"/>
    </row>
    <row r="145" spans="2:3" ht="12.75" customHeight="1">
      <c r="B145" s="270"/>
      <c r="C145" s="270"/>
    </row>
    <row r="146" spans="2:3" ht="12.75" customHeight="1">
      <c r="B146" s="270"/>
      <c r="C146" s="270"/>
    </row>
    <row r="147" spans="2:3" ht="12.75" customHeight="1">
      <c r="B147" s="270"/>
      <c r="C147" s="270"/>
    </row>
    <row r="148" spans="2:3" ht="12" customHeight="1">
      <c r="B148" s="270"/>
      <c r="C148" s="270"/>
    </row>
    <row r="149" ht="12" customHeight="1">
      <c r="C149" s="270"/>
    </row>
    <row r="150" ht="13.5" customHeight="1">
      <c r="C150" s="270"/>
    </row>
  </sheetData>
  <sheetProtection/>
  <mergeCells count="110">
    <mergeCell ref="A31:B31"/>
    <mergeCell ref="A32:B32"/>
    <mergeCell ref="A27:B27"/>
    <mergeCell ref="A28:B28"/>
    <mergeCell ref="A29:B29"/>
    <mergeCell ref="A30:P30"/>
    <mergeCell ref="A33:B33"/>
    <mergeCell ref="A34:B34"/>
    <mergeCell ref="A117:D117"/>
    <mergeCell ref="A13:P13"/>
    <mergeCell ref="A14:P14"/>
    <mergeCell ref="A24:B24"/>
    <mergeCell ref="A25:P25"/>
    <mergeCell ref="A26:B26"/>
    <mergeCell ref="A46:B46"/>
    <mergeCell ref="C46:D46"/>
    <mergeCell ref="A45:B45"/>
    <mergeCell ref="C45:D45"/>
    <mergeCell ref="A43:B43"/>
    <mergeCell ref="C43:D43"/>
    <mergeCell ref="A42:B42"/>
    <mergeCell ref="C42:D42"/>
    <mergeCell ref="A44:B44"/>
    <mergeCell ref="C44:D44"/>
    <mergeCell ref="A40:B40"/>
    <mergeCell ref="C40:D40"/>
    <mergeCell ref="N40:P40"/>
    <mergeCell ref="A41:P41"/>
    <mergeCell ref="A49:B49"/>
    <mergeCell ref="C49:D49"/>
    <mergeCell ref="A50:B50"/>
    <mergeCell ref="C50:D50"/>
    <mergeCell ref="A47:B47"/>
    <mergeCell ref="C47:D47"/>
    <mergeCell ref="A48:B48"/>
    <mergeCell ref="C48:D48"/>
    <mergeCell ref="C54:D54"/>
    <mergeCell ref="A55:B55"/>
    <mergeCell ref="C55:D55"/>
    <mergeCell ref="A52:B52"/>
    <mergeCell ref="C52:D52"/>
    <mergeCell ref="A60:B60"/>
    <mergeCell ref="C60:D60"/>
    <mergeCell ref="A61:B61"/>
    <mergeCell ref="A51:B51"/>
    <mergeCell ref="C51:D51"/>
    <mergeCell ref="A59:B59"/>
    <mergeCell ref="C59:D59"/>
    <mergeCell ref="A53:B53"/>
    <mergeCell ref="C53:D53"/>
    <mergeCell ref="A54:B54"/>
    <mergeCell ref="A56:B56"/>
    <mergeCell ref="C56:D56"/>
    <mergeCell ref="A57:P57"/>
    <mergeCell ref="A58:B58"/>
    <mergeCell ref="C58:D58"/>
    <mergeCell ref="C61:D61"/>
    <mergeCell ref="A62:B62"/>
    <mergeCell ref="C62:D62"/>
    <mergeCell ref="C66:D66"/>
    <mergeCell ref="A63:B63"/>
    <mergeCell ref="C63:D63"/>
    <mergeCell ref="A65:B65"/>
    <mergeCell ref="C65:D65"/>
    <mergeCell ref="A69:B69"/>
    <mergeCell ref="C69:D69"/>
    <mergeCell ref="A67:B67"/>
    <mergeCell ref="C67:D67"/>
    <mergeCell ref="A70:B70"/>
    <mergeCell ref="C70:D70"/>
    <mergeCell ref="A72:B72"/>
    <mergeCell ref="A64:B64"/>
    <mergeCell ref="C64:D64"/>
    <mergeCell ref="A71:B71"/>
    <mergeCell ref="C71:D71"/>
    <mergeCell ref="A66:B66"/>
    <mergeCell ref="A68:B68"/>
    <mergeCell ref="C68:D68"/>
    <mergeCell ref="C72:D72"/>
    <mergeCell ref="E97:E98"/>
    <mergeCell ref="C90:D90"/>
    <mergeCell ref="C91:D91"/>
    <mergeCell ref="C92:D92"/>
    <mergeCell ref="C83:D83"/>
    <mergeCell ref="C79:D80"/>
    <mergeCell ref="C81:D81"/>
    <mergeCell ref="C82:D82"/>
    <mergeCell ref="A88:A89"/>
    <mergeCell ref="B88:B89"/>
    <mergeCell ref="C88:D89"/>
    <mergeCell ref="A79:A80"/>
    <mergeCell ref="B79:B80"/>
    <mergeCell ref="A140:B140"/>
    <mergeCell ref="E24:P24"/>
    <mergeCell ref="A108:B108"/>
    <mergeCell ref="A109:B109"/>
    <mergeCell ref="A115:O115"/>
    <mergeCell ref="A123:O123"/>
    <mergeCell ref="A97:A98"/>
    <mergeCell ref="B97:B98"/>
    <mergeCell ref="C97:C98"/>
    <mergeCell ref="D97:D98"/>
    <mergeCell ref="F81:G81"/>
    <mergeCell ref="F79:G80"/>
    <mergeCell ref="F92:G92"/>
    <mergeCell ref="F91:G91"/>
    <mergeCell ref="F90:G90"/>
    <mergeCell ref="F88:G89"/>
    <mergeCell ref="F83:G83"/>
    <mergeCell ref="F82:G82"/>
  </mergeCells>
  <printOptions/>
  <pageMargins left="0.57" right="0.2362204724409449" top="0.1968503937007874" bottom="0.1968503937007874" header="0.15748031496062992" footer="0.1968503937007874"/>
  <pageSetup horizontalDpi="600" verticalDpi="600" orientation="landscape" paperSize="9" scale="95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A35">
      <selection activeCell="Q23" sqref="Q23"/>
    </sheetView>
  </sheetViews>
  <sheetFormatPr defaultColWidth="9.00390625" defaultRowHeight="12.75"/>
  <cols>
    <col min="1" max="1" width="9.125" style="211" customWidth="1"/>
    <col min="2" max="2" width="52.25390625" style="211" customWidth="1"/>
    <col min="3" max="3" width="15.875" style="211" customWidth="1"/>
    <col min="4" max="4" width="18.25390625" style="211" customWidth="1"/>
    <col min="5" max="7" width="16.25390625" style="211" customWidth="1"/>
    <col min="8" max="10" width="16.75390625" style="211" hidden="1" customWidth="1"/>
    <col min="11" max="11" width="18.00390625" style="211" hidden="1" customWidth="1"/>
    <col min="12" max="12" width="17.75390625" style="211" hidden="1" customWidth="1"/>
    <col min="13" max="13" width="17.125" style="211" hidden="1" customWidth="1"/>
    <col min="14" max="14" width="16.875" style="211" hidden="1" customWidth="1"/>
    <col min="15" max="15" width="15.25390625" style="211" hidden="1" customWidth="1"/>
    <col min="16" max="16" width="15.125" style="211" hidden="1" customWidth="1"/>
    <col min="17" max="17" width="14.25390625" style="213" hidden="1" customWidth="1"/>
    <col min="18" max="18" width="16.25390625" style="211" hidden="1" customWidth="1"/>
    <col min="19" max="19" width="9.125" style="211" hidden="1" customWidth="1"/>
    <col min="20" max="20" width="9.125" style="211" customWidth="1"/>
    <col min="21" max="21" width="9.625" style="211" bestFit="1" customWidth="1"/>
    <col min="22" max="16384" width="9.125" style="211" customWidth="1"/>
  </cols>
  <sheetData>
    <row r="1" ht="11.25" customHeight="1">
      <c r="G1" s="212" t="s">
        <v>104</v>
      </c>
    </row>
    <row r="2" ht="9" customHeight="1">
      <c r="G2" s="212" t="s">
        <v>381</v>
      </c>
    </row>
    <row r="3" ht="9.75" customHeight="1">
      <c r="G3" s="212" t="s">
        <v>382</v>
      </c>
    </row>
    <row r="4" ht="9.75" customHeight="1">
      <c r="G4" s="212" t="s">
        <v>383</v>
      </c>
    </row>
    <row r="5" ht="9" customHeight="1">
      <c r="G5" s="212" t="s">
        <v>384</v>
      </c>
    </row>
    <row r="6" ht="10.5" customHeight="1">
      <c r="G6" s="212" t="s">
        <v>385</v>
      </c>
    </row>
    <row r="7" ht="9" customHeight="1">
      <c r="G7" s="212" t="s">
        <v>386</v>
      </c>
    </row>
    <row r="8" ht="9.75" customHeight="1">
      <c r="G8" s="212" t="s">
        <v>387</v>
      </c>
    </row>
    <row r="9" ht="9" customHeight="1">
      <c r="G9" s="212" t="s">
        <v>388</v>
      </c>
    </row>
    <row r="10" ht="9.75" customHeight="1">
      <c r="G10" s="212" t="s">
        <v>389</v>
      </c>
    </row>
    <row r="11" spans="2:17" s="214" customFormat="1" ht="15.75">
      <c r="B11" s="215"/>
      <c r="C11" s="216" t="s">
        <v>105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Q11" s="217"/>
    </row>
    <row r="12" spans="2:17" s="214" customFormat="1" ht="15.75">
      <c r="B12" s="215"/>
      <c r="C12" s="216" t="s">
        <v>106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Q12" s="217"/>
    </row>
    <row r="13" spans="1:17" s="214" customFormat="1" ht="33" customHeight="1">
      <c r="A13" s="748" t="s">
        <v>107</v>
      </c>
      <c r="B13" s="749"/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217"/>
    </row>
    <row r="14" spans="1:17" s="214" customFormat="1" ht="18.75" customHeight="1">
      <c r="A14" s="749" t="s">
        <v>167</v>
      </c>
      <c r="B14" s="749"/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217"/>
    </row>
    <row r="15" spans="1:17" s="214" customFormat="1" ht="15.7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7"/>
    </row>
    <row r="16" spans="2:17" s="214" customFormat="1" ht="15.75">
      <c r="B16" s="215"/>
      <c r="C16" s="216" t="s">
        <v>175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Q16" s="217"/>
    </row>
    <row r="17" spans="2:17" s="214" customFormat="1" ht="15.75">
      <c r="B17" s="215"/>
      <c r="C17" s="216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Q17" s="217"/>
    </row>
    <row r="18" spans="1:17" s="214" customFormat="1" ht="17.25" customHeight="1">
      <c r="A18" s="219" t="s">
        <v>108</v>
      </c>
      <c r="B18" s="220"/>
      <c r="C18" s="343" t="s">
        <v>171</v>
      </c>
      <c r="D18" s="343"/>
      <c r="E18" s="221"/>
      <c r="F18" s="221"/>
      <c r="G18" s="221"/>
      <c r="H18" s="221"/>
      <c r="I18" s="221"/>
      <c r="J18" s="221"/>
      <c r="K18" s="221"/>
      <c r="L18" s="221"/>
      <c r="M18" s="221"/>
      <c r="Q18" s="217"/>
    </row>
    <row r="19" spans="2:17" s="214" customFormat="1" ht="12.75" customHeight="1" hidden="1">
      <c r="B19" s="222"/>
      <c r="C19" s="343"/>
      <c r="D19" s="343"/>
      <c r="Q19" s="217"/>
    </row>
    <row r="20" spans="2:17" s="214" customFormat="1" ht="12.75">
      <c r="B20" s="222"/>
      <c r="C20" s="343" t="s">
        <v>172</v>
      </c>
      <c r="D20" s="343"/>
      <c r="Q20" s="217"/>
    </row>
    <row r="21" spans="1:17" s="223" customFormat="1" ht="15">
      <c r="A21" s="223" t="s">
        <v>109</v>
      </c>
      <c r="C21" s="344"/>
      <c r="D21" s="344"/>
      <c r="Q21" s="224"/>
    </row>
    <row r="22" spans="1:17" s="223" customFormat="1" ht="15">
      <c r="A22" s="223" t="s">
        <v>110</v>
      </c>
      <c r="Q22" s="224"/>
    </row>
    <row r="24" spans="1:16" ht="39" customHeight="1">
      <c r="A24" s="580" t="s">
        <v>111</v>
      </c>
      <c r="B24" s="581"/>
      <c r="C24" s="227" t="s">
        <v>261</v>
      </c>
      <c r="D24" s="227" t="s">
        <v>112</v>
      </c>
      <c r="E24" s="580" t="s">
        <v>113</v>
      </c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581"/>
    </row>
    <row r="25" spans="1:16" ht="21.75" customHeight="1">
      <c r="A25" s="590" t="s">
        <v>114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591"/>
    </row>
    <row r="26" spans="1:19" ht="64.5" customHeight="1">
      <c r="A26" s="734" t="s">
        <v>115</v>
      </c>
      <c r="B26" s="735"/>
      <c r="C26" s="229" t="s">
        <v>406</v>
      </c>
      <c r="D26" s="230">
        <f>ROUND((E26+F26+G26+H26+I26+J26+K26+L26+M26+N26+O26+P26)/S26,0)</f>
        <v>152</v>
      </c>
      <c r="E26" s="230">
        <f aca="true" t="shared" si="0" ref="E26:M26">E27</f>
        <v>152</v>
      </c>
      <c r="F26" s="230">
        <f t="shared" si="0"/>
        <v>152</v>
      </c>
      <c r="G26" s="230">
        <f t="shared" si="0"/>
        <v>152</v>
      </c>
      <c r="H26" s="230">
        <f t="shared" si="0"/>
        <v>0</v>
      </c>
      <c r="I26" s="230">
        <f t="shared" si="0"/>
        <v>0</v>
      </c>
      <c r="J26" s="230">
        <f t="shared" si="0"/>
        <v>0</v>
      </c>
      <c r="K26" s="230">
        <f t="shared" si="0"/>
        <v>0</v>
      </c>
      <c r="L26" s="230">
        <f t="shared" si="0"/>
        <v>0</v>
      </c>
      <c r="M26" s="230">
        <f t="shared" si="0"/>
        <v>0</v>
      </c>
      <c r="N26" s="230">
        <f>N27</f>
        <v>0</v>
      </c>
      <c r="O26" s="230">
        <f>O27</f>
        <v>0</v>
      </c>
      <c r="P26" s="230">
        <f>P27</f>
        <v>0</v>
      </c>
      <c r="S26" s="211">
        <f>COUNTIF(E26:P26,"&gt;0")</f>
        <v>3</v>
      </c>
    </row>
    <row r="27" spans="1:19" ht="12.75">
      <c r="A27" s="734" t="s">
        <v>116</v>
      </c>
      <c r="B27" s="735"/>
      <c r="C27" s="229" t="s">
        <v>406</v>
      </c>
      <c r="D27" s="230">
        <f>ROUND((E27+F27+G27+H27+I27+J27+K27+L27+M27+N27+O27+P27)/S27,0)</f>
        <v>152</v>
      </c>
      <c r="E27" s="230">
        <f>'[1]мун.задание'!D69</f>
        <v>152</v>
      </c>
      <c r="F27" s="230">
        <f>'[1]мун.задание'!E69</f>
        <v>152</v>
      </c>
      <c r="G27" s="230">
        <f>'[1]мун.задание'!F69</f>
        <v>152</v>
      </c>
      <c r="H27" s="230"/>
      <c r="I27" s="230"/>
      <c r="J27" s="230"/>
      <c r="K27" s="230"/>
      <c r="L27" s="230"/>
      <c r="M27" s="230"/>
      <c r="N27" s="230"/>
      <c r="O27" s="230"/>
      <c r="P27" s="230"/>
      <c r="S27" s="211">
        <f>COUNTIF(E27:P27,"&gt;0")</f>
        <v>3</v>
      </c>
    </row>
    <row r="28" spans="1:19" ht="15" customHeight="1">
      <c r="A28" s="734" t="s">
        <v>117</v>
      </c>
      <c r="B28" s="735"/>
      <c r="C28" s="229" t="s">
        <v>406</v>
      </c>
      <c r="D28" s="230">
        <f>ROUND((E28+F28+G28+H28+I28+J28+K28+L28+M28+N28+O28+P28)/S28,0)</f>
        <v>152</v>
      </c>
      <c r="E28" s="230">
        <f>'[1]мун.задание'!D70</f>
        <v>152</v>
      </c>
      <c r="F28" s="230">
        <f>'[1]мун.задание'!E70</f>
        <v>152</v>
      </c>
      <c r="G28" s="230">
        <f>'[1]мун.задание'!F70</f>
        <v>152</v>
      </c>
      <c r="H28" s="230"/>
      <c r="I28" s="230"/>
      <c r="J28" s="230"/>
      <c r="K28" s="230"/>
      <c r="L28" s="230"/>
      <c r="M28" s="230"/>
      <c r="N28" s="230"/>
      <c r="O28" s="230"/>
      <c r="P28" s="230"/>
      <c r="S28" s="211">
        <f>COUNTIF(E28:P28,"&gt;0")</f>
        <v>3</v>
      </c>
    </row>
    <row r="29" spans="1:19" ht="15" customHeight="1">
      <c r="A29" s="734" t="s">
        <v>118</v>
      </c>
      <c r="B29" s="735"/>
      <c r="C29" s="229" t="s">
        <v>406</v>
      </c>
      <c r="D29" s="230">
        <f>ROUND((E29+F29+G29+H29+I29+J29+K29+L29+M29+N29+O29+P29)/S29,0)</f>
        <v>152</v>
      </c>
      <c r="E29" s="230">
        <f>'[1]мун.задание'!D71</f>
        <v>152</v>
      </c>
      <c r="F29" s="230">
        <f>'[1]мун.задание'!E71</f>
        <v>152</v>
      </c>
      <c r="G29" s="230">
        <f>'[1]мун.задание'!F71</f>
        <v>152</v>
      </c>
      <c r="H29" s="230"/>
      <c r="I29" s="230"/>
      <c r="J29" s="230"/>
      <c r="K29" s="230"/>
      <c r="L29" s="230"/>
      <c r="M29" s="230"/>
      <c r="N29" s="230"/>
      <c r="O29" s="230"/>
      <c r="P29" s="230"/>
      <c r="S29" s="211">
        <f>COUNTIF(E29:P29,"&gt;0")</f>
        <v>3</v>
      </c>
    </row>
    <row r="30" spans="1:16" ht="22.5" customHeight="1">
      <c r="A30" s="590" t="s">
        <v>119</v>
      </c>
      <c r="B30" s="742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591"/>
    </row>
    <row r="31" spans="1:19" ht="63" customHeight="1">
      <c r="A31" s="734" t="s">
        <v>120</v>
      </c>
      <c r="B31" s="735"/>
      <c r="C31" s="229" t="s">
        <v>406</v>
      </c>
      <c r="D31" s="230">
        <f>ROUND((E31+F31+G31+H31+I31+J31+K31+L31+M31+N31+O31+P31)/S31,0)</f>
        <v>152</v>
      </c>
      <c r="E31" s="230">
        <f aca="true" t="shared" si="1" ref="E31:P31">E32</f>
        <v>152</v>
      </c>
      <c r="F31" s="230">
        <f t="shared" si="1"/>
        <v>152</v>
      </c>
      <c r="G31" s="230">
        <f t="shared" si="1"/>
        <v>152</v>
      </c>
      <c r="H31" s="230">
        <f t="shared" si="1"/>
        <v>0</v>
      </c>
      <c r="I31" s="230">
        <f t="shared" si="1"/>
        <v>0</v>
      </c>
      <c r="J31" s="230">
        <f t="shared" si="1"/>
        <v>0</v>
      </c>
      <c r="K31" s="230">
        <f t="shared" si="1"/>
        <v>0</v>
      </c>
      <c r="L31" s="230">
        <f t="shared" si="1"/>
        <v>0</v>
      </c>
      <c r="M31" s="230">
        <f t="shared" si="1"/>
        <v>0</v>
      </c>
      <c r="N31" s="230">
        <f t="shared" si="1"/>
        <v>0</v>
      </c>
      <c r="O31" s="230">
        <f t="shared" si="1"/>
        <v>0</v>
      </c>
      <c r="P31" s="230">
        <f t="shared" si="1"/>
        <v>0</v>
      </c>
      <c r="S31" s="211">
        <f>COUNTIF(E31:P31,"&gt;0")</f>
        <v>3</v>
      </c>
    </row>
    <row r="32" spans="1:19" ht="12.75">
      <c r="A32" s="734" t="s">
        <v>116</v>
      </c>
      <c r="B32" s="735"/>
      <c r="C32" s="229" t="s">
        <v>406</v>
      </c>
      <c r="D32" s="230">
        <f>ROUND((E32+F32+G32+H32+I32+J32+K32+L32+M32+N32+O32+P32)/S32,0)</f>
        <v>152</v>
      </c>
      <c r="E32" s="230">
        <f>E27</f>
        <v>152</v>
      </c>
      <c r="F32" s="230">
        <f aca="true" t="shared" si="2" ref="F32:P32">F27</f>
        <v>152</v>
      </c>
      <c r="G32" s="230">
        <f t="shared" si="2"/>
        <v>152</v>
      </c>
      <c r="H32" s="230">
        <f t="shared" si="2"/>
        <v>0</v>
      </c>
      <c r="I32" s="230">
        <f t="shared" si="2"/>
        <v>0</v>
      </c>
      <c r="J32" s="230">
        <f t="shared" si="2"/>
        <v>0</v>
      </c>
      <c r="K32" s="230">
        <f t="shared" si="2"/>
        <v>0</v>
      </c>
      <c r="L32" s="230">
        <f t="shared" si="2"/>
        <v>0</v>
      </c>
      <c r="M32" s="230">
        <f t="shared" si="2"/>
        <v>0</v>
      </c>
      <c r="N32" s="230">
        <f t="shared" si="2"/>
        <v>0</v>
      </c>
      <c r="O32" s="230">
        <f t="shared" si="2"/>
        <v>0</v>
      </c>
      <c r="P32" s="230">
        <f t="shared" si="2"/>
        <v>0</v>
      </c>
      <c r="S32" s="211">
        <f>COUNTIF(E32:P32,"&gt;0")</f>
        <v>3</v>
      </c>
    </row>
    <row r="33" spans="1:19" ht="13.5" customHeight="1">
      <c r="A33" s="734" t="s">
        <v>117</v>
      </c>
      <c r="B33" s="735"/>
      <c r="C33" s="229" t="s">
        <v>406</v>
      </c>
      <c r="D33" s="230">
        <f>ROUND((E33+F33+G33+H33+I33+J33+K33+L33+M33+N33+O33+P33)/S33,0)</f>
        <v>152</v>
      </c>
      <c r="E33" s="230">
        <f aca="true" t="shared" si="3" ref="E33:P34">E28</f>
        <v>152</v>
      </c>
      <c r="F33" s="230">
        <f t="shared" si="3"/>
        <v>152</v>
      </c>
      <c r="G33" s="230">
        <f t="shared" si="3"/>
        <v>152</v>
      </c>
      <c r="H33" s="230">
        <f t="shared" si="3"/>
        <v>0</v>
      </c>
      <c r="I33" s="230">
        <f t="shared" si="3"/>
        <v>0</v>
      </c>
      <c r="J33" s="230">
        <f t="shared" si="3"/>
        <v>0</v>
      </c>
      <c r="K33" s="230">
        <f t="shared" si="3"/>
        <v>0</v>
      </c>
      <c r="L33" s="230">
        <f t="shared" si="3"/>
        <v>0</v>
      </c>
      <c r="M33" s="230">
        <f t="shared" si="3"/>
        <v>0</v>
      </c>
      <c r="N33" s="230">
        <f t="shared" si="3"/>
        <v>0</v>
      </c>
      <c r="O33" s="230">
        <f t="shared" si="3"/>
        <v>0</v>
      </c>
      <c r="P33" s="230">
        <f t="shared" si="3"/>
        <v>0</v>
      </c>
      <c r="S33" s="211">
        <f>COUNTIF(E33:P33,"&gt;0")</f>
        <v>3</v>
      </c>
    </row>
    <row r="34" spans="1:19" ht="13.5" customHeight="1">
      <c r="A34" s="734" t="s">
        <v>118</v>
      </c>
      <c r="B34" s="735"/>
      <c r="C34" s="229" t="s">
        <v>406</v>
      </c>
      <c r="D34" s="230">
        <f>ROUND((E34+F34+G34+H34+I34+J34+K34+L34+M34+N34+O34+P34)/S34,0)</f>
        <v>152</v>
      </c>
      <c r="E34" s="230">
        <f t="shared" si="3"/>
        <v>152</v>
      </c>
      <c r="F34" s="230">
        <f t="shared" si="3"/>
        <v>152</v>
      </c>
      <c r="G34" s="230">
        <f t="shared" si="3"/>
        <v>152</v>
      </c>
      <c r="H34" s="230">
        <f t="shared" si="3"/>
        <v>0</v>
      </c>
      <c r="I34" s="230">
        <f t="shared" si="3"/>
        <v>0</v>
      </c>
      <c r="J34" s="230">
        <f t="shared" si="3"/>
        <v>0</v>
      </c>
      <c r="K34" s="230">
        <f t="shared" si="3"/>
        <v>0</v>
      </c>
      <c r="L34" s="230">
        <f t="shared" si="3"/>
        <v>0</v>
      </c>
      <c r="M34" s="230">
        <f t="shared" si="3"/>
        <v>0</v>
      </c>
      <c r="N34" s="230">
        <f t="shared" si="3"/>
        <v>0</v>
      </c>
      <c r="O34" s="230">
        <f t="shared" si="3"/>
        <v>0</v>
      </c>
      <c r="P34" s="230">
        <f t="shared" si="3"/>
        <v>0</v>
      </c>
      <c r="S34" s="211">
        <f>COUNTIF(E34:P34,"&gt;0")</f>
        <v>3</v>
      </c>
    </row>
    <row r="38" spans="1:17" s="223" customFormat="1" ht="15">
      <c r="A38" s="223" t="s">
        <v>121</v>
      </c>
      <c r="Q38" s="224"/>
    </row>
    <row r="40" spans="1:16" ht="31.5" customHeight="1">
      <c r="A40" s="580" t="s">
        <v>111</v>
      </c>
      <c r="B40" s="581"/>
      <c r="C40" s="580" t="s">
        <v>122</v>
      </c>
      <c r="D40" s="581"/>
      <c r="E40" s="226"/>
      <c r="F40" s="226"/>
      <c r="G40" s="226"/>
      <c r="H40" s="226"/>
      <c r="I40" s="226"/>
      <c r="J40" s="226"/>
      <c r="K40" s="226"/>
      <c r="L40" s="226"/>
      <c r="M40" s="226"/>
      <c r="N40" s="580" t="s">
        <v>123</v>
      </c>
      <c r="O40" s="722"/>
      <c r="P40" s="581"/>
    </row>
    <row r="41" spans="1:16" ht="19.5" customHeight="1">
      <c r="A41" s="590" t="s">
        <v>114</v>
      </c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591"/>
    </row>
    <row r="42" spans="1:18" ht="67.5" customHeight="1">
      <c r="A42" s="743" t="s">
        <v>124</v>
      </c>
      <c r="B42" s="744"/>
      <c r="C42" s="745">
        <f>C43+C46</f>
        <v>4001.24022</v>
      </c>
      <c r="D42" s="746"/>
      <c r="E42" s="271">
        <f>E43+E46</f>
        <v>998.975</v>
      </c>
      <c r="F42" s="271">
        <f aca="true" t="shared" si="4" ref="F42:P42">F43+F46</f>
        <v>1474.89918</v>
      </c>
      <c r="G42" s="271">
        <f t="shared" si="4"/>
        <v>1527.3660399999999</v>
      </c>
      <c r="H42" s="271">
        <f t="shared" si="4"/>
        <v>0</v>
      </c>
      <c r="I42" s="271">
        <f t="shared" si="4"/>
        <v>0</v>
      </c>
      <c r="J42" s="271">
        <f t="shared" si="4"/>
        <v>0</v>
      </c>
      <c r="K42" s="271">
        <f t="shared" si="4"/>
        <v>0</v>
      </c>
      <c r="L42" s="271">
        <f t="shared" si="4"/>
        <v>0</v>
      </c>
      <c r="M42" s="271">
        <f t="shared" si="4"/>
        <v>0</v>
      </c>
      <c r="N42" s="271">
        <f t="shared" si="4"/>
        <v>0</v>
      </c>
      <c r="O42" s="271">
        <f t="shared" si="4"/>
        <v>0</v>
      </c>
      <c r="P42" s="271">
        <f t="shared" si="4"/>
        <v>0</v>
      </c>
      <c r="Q42" s="231">
        <f>Q43+Q46</f>
        <v>0</v>
      </c>
      <c r="R42" s="231">
        <f>R43+R46</f>
        <v>0</v>
      </c>
    </row>
    <row r="43" spans="1:17" s="233" customFormat="1" ht="67.5" customHeight="1">
      <c r="A43" s="736" t="s">
        <v>125</v>
      </c>
      <c r="B43" s="737"/>
      <c r="C43" s="740">
        <f>SUM(C44:D45)</f>
        <v>3897.19822</v>
      </c>
      <c r="D43" s="741"/>
      <c r="E43" s="347">
        <f>SUM(E44:E45)</f>
        <v>894.933</v>
      </c>
      <c r="F43" s="347">
        <f aca="true" t="shared" si="5" ref="F43:M43">SUM(F44:F45)</f>
        <v>1474.89918</v>
      </c>
      <c r="G43" s="347">
        <f t="shared" si="5"/>
        <v>1527.3660399999999</v>
      </c>
      <c r="H43" s="347">
        <f t="shared" si="5"/>
        <v>0</v>
      </c>
      <c r="I43" s="347">
        <f t="shared" si="5"/>
        <v>0</v>
      </c>
      <c r="J43" s="347">
        <f t="shared" si="5"/>
        <v>0</v>
      </c>
      <c r="K43" s="347">
        <f t="shared" si="5"/>
        <v>0</v>
      </c>
      <c r="L43" s="347">
        <f t="shared" si="5"/>
        <v>0</v>
      </c>
      <c r="M43" s="347">
        <f t="shared" si="5"/>
        <v>0</v>
      </c>
      <c r="N43" s="347">
        <f>SUM(N44:N45)</f>
        <v>0</v>
      </c>
      <c r="O43" s="347">
        <f>SUM(O44:O45)</f>
        <v>0</v>
      </c>
      <c r="P43" s="347">
        <f>SUM(P44:P45)</f>
        <v>0</v>
      </c>
      <c r="Q43" s="232"/>
    </row>
    <row r="44" spans="1:16" ht="15.75" customHeight="1">
      <c r="A44" s="734" t="s">
        <v>116</v>
      </c>
      <c r="B44" s="735"/>
      <c r="C44" s="731">
        <f>SUM(E44:P44)</f>
        <v>2030.011</v>
      </c>
      <c r="D44" s="732"/>
      <c r="E44" s="234">
        <f>'[1]вспомогательная таблица'!C17/1000</f>
        <v>338.335</v>
      </c>
      <c r="F44" s="234">
        <f>'[1]вспомогательная таблица'!D17/1000</f>
        <v>845.838</v>
      </c>
      <c r="G44" s="234">
        <f>'[1]вспомогательная таблица'!E17/1000</f>
        <v>845.838</v>
      </c>
      <c r="H44" s="234"/>
      <c r="I44" s="234"/>
      <c r="J44" s="234"/>
      <c r="K44" s="234"/>
      <c r="L44" s="234"/>
      <c r="M44" s="234"/>
      <c r="N44" s="235"/>
      <c r="O44" s="235"/>
      <c r="P44" s="235"/>
    </row>
    <row r="45" spans="1:20" ht="15" customHeight="1">
      <c r="A45" s="734" t="s">
        <v>126</v>
      </c>
      <c r="B45" s="735"/>
      <c r="C45" s="731">
        <f>SUM(E45:P45)</f>
        <v>1867.18722</v>
      </c>
      <c r="D45" s="732"/>
      <c r="E45" s="234">
        <f>'[1]вспомогательная таблица'!C18/1000</f>
        <v>556.598</v>
      </c>
      <c r="F45" s="234">
        <f>'[1]вспомогательная таблица'!D18/1000</f>
        <v>629.06118</v>
      </c>
      <c r="G45" s="234">
        <f>'[1]вспомогательная таблица'!E18/1000</f>
        <v>681.5280399999999</v>
      </c>
      <c r="H45" s="234"/>
      <c r="I45" s="234"/>
      <c r="J45" s="234"/>
      <c r="K45" s="234"/>
      <c r="L45" s="234"/>
      <c r="M45" s="234"/>
      <c r="N45" s="236"/>
      <c r="O45" s="236"/>
      <c r="P45" s="236"/>
      <c r="T45" s="237"/>
    </row>
    <row r="46" spans="1:20" s="233" customFormat="1" ht="68.25" customHeight="1">
      <c r="A46" s="736" t="s">
        <v>127</v>
      </c>
      <c r="B46" s="737"/>
      <c r="C46" s="740">
        <f>C47</f>
        <v>104.042</v>
      </c>
      <c r="D46" s="741"/>
      <c r="E46" s="347">
        <f aca="true" t="shared" si="6" ref="E46:P46">E47</f>
        <v>104.042</v>
      </c>
      <c r="F46" s="347">
        <f t="shared" si="6"/>
        <v>0</v>
      </c>
      <c r="G46" s="347">
        <f t="shared" si="6"/>
        <v>0</v>
      </c>
      <c r="H46" s="347">
        <f t="shared" si="6"/>
        <v>0</v>
      </c>
      <c r="I46" s="347">
        <f t="shared" si="6"/>
        <v>0</v>
      </c>
      <c r="J46" s="347">
        <f t="shared" si="6"/>
        <v>0</v>
      </c>
      <c r="K46" s="347">
        <f t="shared" si="6"/>
        <v>0</v>
      </c>
      <c r="L46" s="347">
        <f t="shared" si="6"/>
        <v>0</v>
      </c>
      <c r="M46" s="347">
        <f t="shared" si="6"/>
        <v>0</v>
      </c>
      <c r="N46" s="347">
        <f t="shared" si="6"/>
        <v>0</v>
      </c>
      <c r="O46" s="347">
        <f t="shared" si="6"/>
        <v>0</v>
      </c>
      <c r="P46" s="347">
        <f t="shared" si="6"/>
        <v>0</v>
      </c>
      <c r="Q46" s="232"/>
      <c r="T46" s="238"/>
    </row>
    <row r="47" spans="1:20" ht="15" customHeight="1">
      <c r="A47" s="734" t="s">
        <v>118</v>
      </c>
      <c r="B47" s="735"/>
      <c r="C47" s="731">
        <f>SUM(E47:P47)</f>
        <v>104.042</v>
      </c>
      <c r="D47" s="732"/>
      <c r="E47" s="234">
        <f>'[1]вспомогательная таблица'!C19/1000</f>
        <v>104.042</v>
      </c>
      <c r="F47" s="234">
        <f>'[1]вспомогательная таблица'!D19/1000</f>
        <v>0</v>
      </c>
      <c r="G47" s="234">
        <f>'[1]вспомогательная таблица'!E19/1000</f>
        <v>0</v>
      </c>
      <c r="H47" s="234"/>
      <c r="I47" s="234"/>
      <c r="J47" s="234"/>
      <c r="K47" s="234"/>
      <c r="L47" s="234"/>
      <c r="M47" s="234"/>
      <c r="N47" s="239"/>
      <c r="O47" s="239"/>
      <c r="P47" s="239"/>
      <c r="T47" s="237"/>
    </row>
    <row r="48" spans="1:20" s="233" customFormat="1" ht="65.25" customHeight="1">
      <c r="A48" s="736" t="s">
        <v>128</v>
      </c>
      <c r="B48" s="737"/>
      <c r="C48" s="738">
        <f>SUM(C49:D56)</f>
        <v>30.075</v>
      </c>
      <c r="D48" s="739"/>
      <c r="E48" s="346">
        <f>SUM(E49:E56)</f>
        <v>30.075</v>
      </c>
      <c r="F48" s="346">
        <f>SUM(F49:F56)</f>
        <v>0</v>
      </c>
      <c r="G48" s="346">
        <f>SUM(E49:E56)</f>
        <v>30.075</v>
      </c>
      <c r="H48" s="346">
        <f aca="true" t="shared" si="7" ref="H48:P48">SUM(H49:H56)</f>
        <v>0</v>
      </c>
      <c r="I48" s="346">
        <f t="shared" si="7"/>
        <v>0</v>
      </c>
      <c r="J48" s="346">
        <f t="shared" si="7"/>
        <v>0</v>
      </c>
      <c r="K48" s="346">
        <f t="shared" si="7"/>
        <v>0</v>
      </c>
      <c r="L48" s="346">
        <f t="shared" si="7"/>
        <v>0</v>
      </c>
      <c r="M48" s="346">
        <f t="shared" si="7"/>
        <v>0</v>
      </c>
      <c r="N48" s="346">
        <f t="shared" si="7"/>
        <v>0</v>
      </c>
      <c r="O48" s="346">
        <f t="shared" si="7"/>
        <v>0</v>
      </c>
      <c r="P48" s="346">
        <f t="shared" si="7"/>
        <v>0</v>
      </c>
      <c r="Q48" s="232"/>
      <c r="T48" s="238"/>
    </row>
    <row r="49" spans="1:20" ht="27" customHeight="1">
      <c r="A49" s="734" t="s">
        <v>129</v>
      </c>
      <c r="B49" s="735"/>
      <c r="C49" s="731">
        <f aca="true" t="shared" si="8" ref="C49:C56">SUM(E49:P49)</f>
        <v>0</v>
      </c>
      <c r="D49" s="732"/>
      <c r="E49" s="234"/>
      <c r="F49" s="234"/>
      <c r="G49" s="234"/>
      <c r="H49" s="234"/>
      <c r="I49" s="234"/>
      <c r="J49" s="234"/>
      <c r="K49" s="234"/>
      <c r="L49" s="234"/>
      <c r="M49" s="234"/>
      <c r="N49" s="239"/>
      <c r="O49" s="239"/>
      <c r="P49" s="239"/>
      <c r="T49" s="237"/>
    </row>
    <row r="50" spans="1:20" ht="27.75" customHeight="1">
      <c r="A50" s="734" t="s">
        <v>42</v>
      </c>
      <c r="B50" s="735"/>
      <c r="C50" s="731">
        <f t="shared" si="8"/>
        <v>0</v>
      </c>
      <c r="D50" s="732"/>
      <c r="E50" s="234"/>
      <c r="F50" s="234"/>
      <c r="G50" s="234"/>
      <c r="H50" s="234"/>
      <c r="I50" s="234"/>
      <c r="J50" s="234"/>
      <c r="K50" s="234"/>
      <c r="L50" s="234"/>
      <c r="M50" s="234"/>
      <c r="N50" s="239"/>
      <c r="O50" s="239"/>
      <c r="P50" s="239"/>
      <c r="T50" s="237"/>
    </row>
    <row r="51" spans="1:20" ht="26.25" customHeight="1">
      <c r="A51" s="734" t="s">
        <v>43</v>
      </c>
      <c r="B51" s="735"/>
      <c r="C51" s="731">
        <f t="shared" si="8"/>
        <v>0</v>
      </c>
      <c r="D51" s="732"/>
      <c r="E51" s="234"/>
      <c r="F51" s="234"/>
      <c r="G51" s="234"/>
      <c r="H51" s="234"/>
      <c r="I51" s="234"/>
      <c r="J51" s="234"/>
      <c r="K51" s="234"/>
      <c r="L51" s="234"/>
      <c r="M51" s="234"/>
      <c r="N51" s="239"/>
      <c r="O51" s="239"/>
      <c r="P51" s="239"/>
      <c r="T51" s="237"/>
    </row>
    <row r="52" spans="1:20" ht="52.5" customHeight="1">
      <c r="A52" s="734" t="s">
        <v>44</v>
      </c>
      <c r="B52" s="735"/>
      <c r="C52" s="731">
        <f t="shared" si="8"/>
        <v>0</v>
      </c>
      <c r="D52" s="732"/>
      <c r="E52" s="234"/>
      <c r="F52" s="234"/>
      <c r="G52" s="234"/>
      <c r="H52" s="234"/>
      <c r="I52" s="234"/>
      <c r="J52" s="234"/>
      <c r="K52" s="234"/>
      <c r="L52" s="234"/>
      <c r="M52" s="234"/>
      <c r="N52" s="239"/>
      <c r="O52" s="239"/>
      <c r="P52" s="239"/>
      <c r="T52" s="237"/>
    </row>
    <row r="53" spans="1:20" ht="30" customHeight="1">
      <c r="A53" s="734" t="s">
        <v>130</v>
      </c>
      <c r="B53" s="735"/>
      <c r="C53" s="731">
        <f t="shared" si="8"/>
        <v>0</v>
      </c>
      <c r="D53" s="732"/>
      <c r="E53" s="234"/>
      <c r="F53" s="234"/>
      <c r="G53" s="234"/>
      <c r="H53" s="234"/>
      <c r="I53" s="234"/>
      <c r="J53" s="234"/>
      <c r="K53" s="234"/>
      <c r="L53" s="234"/>
      <c r="M53" s="234"/>
      <c r="N53" s="239"/>
      <c r="O53" s="239"/>
      <c r="P53" s="239"/>
      <c r="T53" s="237"/>
    </row>
    <row r="54" spans="1:20" ht="15" customHeight="1">
      <c r="A54" s="734" t="s">
        <v>45</v>
      </c>
      <c r="B54" s="735"/>
      <c r="C54" s="731">
        <f t="shared" si="8"/>
        <v>0</v>
      </c>
      <c r="D54" s="732"/>
      <c r="E54" s="234">
        <f>'[1]мун.задание'!D135/1000</f>
        <v>0</v>
      </c>
      <c r="F54" s="234">
        <f>'[1]мун.задание'!E135/1000</f>
        <v>0</v>
      </c>
      <c r="G54" s="234">
        <f>'[1]мун.задание'!F135/1000</f>
        <v>0</v>
      </c>
      <c r="H54" s="234"/>
      <c r="I54" s="234"/>
      <c r="J54" s="234"/>
      <c r="K54" s="234"/>
      <c r="L54" s="234"/>
      <c r="M54" s="234"/>
      <c r="N54" s="239"/>
      <c r="O54" s="239"/>
      <c r="P54" s="239"/>
      <c r="T54" s="237"/>
    </row>
    <row r="55" spans="1:20" ht="27.75" customHeight="1">
      <c r="A55" s="734" t="s">
        <v>46</v>
      </c>
      <c r="B55" s="735"/>
      <c r="C55" s="731">
        <f t="shared" si="8"/>
        <v>0</v>
      </c>
      <c r="D55" s="732"/>
      <c r="E55" s="234"/>
      <c r="F55" s="234"/>
      <c r="G55" s="234"/>
      <c r="H55" s="234"/>
      <c r="I55" s="234"/>
      <c r="J55" s="234"/>
      <c r="K55" s="234"/>
      <c r="L55" s="234"/>
      <c r="M55" s="234"/>
      <c r="N55" s="239"/>
      <c r="O55" s="239"/>
      <c r="P55" s="239"/>
      <c r="T55" s="237"/>
    </row>
    <row r="56" spans="1:20" ht="30.75" customHeight="1">
      <c r="A56" s="734" t="s">
        <v>47</v>
      </c>
      <c r="B56" s="735"/>
      <c r="C56" s="731">
        <f t="shared" si="8"/>
        <v>30.075</v>
      </c>
      <c r="D56" s="732"/>
      <c r="E56" s="234">
        <f>'[1]мун.задание'!D138/1000</f>
        <v>30.075</v>
      </c>
      <c r="F56" s="234">
        <f>'[1]мун.задание'!E138/1000</f>
        <v>0</v>
      </c>
      <c r="G56" s="234">
        <f>'[1]мун.задание'!F138/1000</f>
        <v>0</v>
      </c>
      <c r="H56" s="234"/>
      <c r="I56" s="234"/>
      <c r="J56" s="234"/>
      <c r="K56" s="234"/>
      <c r="L56" s="234"/>
      <c r="M56" s="234"/>
      <c r="N56" s="239"/>
      <c r="O56" s="239"/>
      <c r="P56" s="239"/>
      <c r="T56" s="237"/>
    </row>
    <row r="57" spans="1:20" ht="21.75" customHeight="1">
      <c r="A57" s="590" t="s">
        <v>119</v>
      </c>
      <c r="B57" s="742"/>
      <c r="C57" s="742"/>
      <c r="D57" s="742"/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591"/>
      <c r="T57" s="237"/>
    </row>
    <row r="58" spans="1:20" s="241" customFormat="1" ht="54.75" customHeight="1">
      <c r="A58" s="743" t="s">
        <v>124</v>
      </c>
      <c r="B58" s="744"/>
      <c r="C58" s="745">
        <f>C59+C62</f>
        <v>4001.2402199999997</v>
      </c>
      <c r="D58" s="746"/>
      <c r="E58" s="271">
        <f aca="true" t="shared" si="9" ref="E58:P58">E59+E62</f>
        <v>1079.70625</v>
      </c>
      <c r="F58" s="271">
        <f t="shared" si="9"/>
        <v>1509.3923</v>
      </c>
      <c r="G58" s="271">
        <f t="shared" si="9"/>
        <v>1412.14167</v>
      </c>
      <c r="H58" s="271">
        <f t="shared" si="9"/>
        <v>0</v>
      </c>
      <c r="I58" s="271">
        <f t="shared" si="9"/>
        <v>0</v>
      </c>
      <c r="J58" s="271">
        <f t="shared" si="9"/>
        <v>0</v>
      </c>
      <c r="K58" s="271">
        <f t="shared" si="9"/>
        <v>0</v>
      </c>
      <c r="L58" s="271">
        <f t="shared" si="9"/>
        <v>0</v>
      </c>
      <c r="M58" s="271">
        <f t="shared" si="9"/>
        <v>0</v>
      </c>
      <c r="N58" s="271">
        <f t="shared" si="9"/>
        <v>0</v>
      </c>
      <c r="O58" s="271">
        <f t="shared" si="9"/>
        <v>0</v>
      </c>
      <c r="P58" s="271">
        <f t="shared" si="9"/>
        <v>0</v>
      </c>
      <c r="Q58" s="240"/>
      <c r="T58" s="242"/>
    </row>
    <row r="59" spans="1:20" ht="51.75" customHeight="1">
      <c r="A59" s="736" t="s">
        <v>125</v>
      </c>
      <c r="B59" s="737"/>
      <c r="C59" s="740">
        <f>SUM(C60:D61)</f>
        <v>3897.1982199999998</v>
      </c>
      <c r="D59" s="741"/>
      <c r="E59" s="347">
        <f aca="true" t="shared" si="10" ref="E59:P59">SUM(E60:E61)</f>
        <v>993.58825</v>
      </c>
      <c r="F59" s="347">
        <f t="shared" si="10"/>
        <v>1509.3923</v>
      </c>
      <c r="G59" s="347">
        <f t="shared" si="10"/>
        <v>1394.21767</v>
      </c>
      <c r="H59" s="347">
        <f t="shared" si="10"/>
        <v>0</v>
      </c>
      <c r="I59" s="347">
        <f t="shared" si="10"/>
        <v>0</v>
      </c>
      <c r="J59" s="347">
        <f t="shared" si="10"/>
        <v>0</v>
      </c>
      <c r="K59" s="347">
        <f t="shared" si="10"/>
        <v>0</v>
      </c>
      <c r="L59" s="347">
        <f t="shared" si="10"/>
        <v>0</v>
      </c>
      <c r="M59" s="347">
        <f t="shared" si="10"/>
        <v>0</v>
      </c>
      <c r="N59" s="347">
        <f t="shared" si="10"/>
        <v>0</v>
      </c>
      <c r="O59" s="347">
        <f t="shared" si="10"/>
        <v>0</v>
      </c>
      <c r="P59" s="347">
        <f t="shared" si="10"/>
        <v>0</v>
      </c>
      <c r="T59" s="237"/>
    </row>
    <row r="60" spans="1:20" ht="12.75">
      <c r="A60" s="734" t="s">
        <v>116</v>
      </c>
      <c r="B60" s="735"/>
      <c r="C60" s="731">
        <f>SUM(E60:P60)</f>
        <v>2217.451</v>
      </c>
      <c r="D60" s="732"/>
      <c r="E60" s="234">
        <f>'[1]касса'!C17/1000</f>
        <v>525.775</v>
      </c>
      <c r="F60" s="234">
        <f>'[1]касса'!D17/1000</f>
        <v>845.838</v>
      </c>
      <c r="G60" s="234">
        <f>'[1]касса'!E17/1000</f>
        <v>845.838</v>
      </c>
      <c r="H60" s="234"/>
      <c r="I60" s="234"/>
      <c r="J60" s="234"/>
      <c r="K60" s="234"/>
      <c r="L60" s="234"/>
      <c r="M60" s="234"/>
      <c r="N60" s="235"/>
      <c r="O60" s="235"/>
      <c r="P60" s="235"/>
      <c r="T60" s="237"/>
    </row>
    <row r="61" spans="1:20" ht="12.75">
      <c r="A61" s="734" t="s">
        <v>126</v>
      </c>
      <c r="B61" s="735"/>
      <c r="C61" s="731">
        <f>SUM(E61:P61)</f>
        <v>1679.7472199999997</v>
      </c>
      <c r="D61" s="732"/>
      <c r="E61" s="234">
        <f>'[1]касса'!C18/1000</f>
        <v>467.81325</v>
      </c>
      <c r="F61" s="234">
        <f>'[1]касса'!D18/1000</f>
        <v>663.5543</v>
      </c>
      <c r="G61" s="234">
        <f>'[1]касса'!E18/1000</f>
        <v>548.3796699999999</v>
      </c>
      <c r="H61" s="234"/>
      <c r="I61" s="234"/>
      <c r="J61" s="234"/>
      <c r="K61" s="234"/>
      <c r="L61" s="234"/>
      <c r="M61" s="234"/>
      <c r="N61" s="236"/>
      <c r="O61" s="236"/>
      <c r="P61" s="236"/>
      <c r="T61" s="237"/>
    </row>
    <row r="62" spans="1:21" ht="54" customHeight="1">
      <c r="A62" s="736" t="s">
        <v>127</v>
      </c>
      <c r="B62" s="737"/>
      <c r="C62" s="740">
        <f>C63</f>
        <v>104.042</v>
      </c>
      <c r="D62" s="741"/>
      <c r="E62" s="347">
        <f aca="true" t="shared" si="11" ref="E62:P62">E63</f>
        <v>86.118</v>
      </c>
      <c r="F62" s="347">
        <f t="shared" si="11"/>
        <v>0</v>
      </c>
      <c r="G62" s="347">
        <f t="shared" si="11"/>
        <v>17.924</v>
      </c>
      <c r="H62" s="347">
        <f t="shared" si="11"/>
        <v>0</v>
      </c>
      <c r="I62" s="347">
        <f t="shared" si="11"/>
        <v>0</v>
      </c>
      <c r="J62" s="347">
        <f t="shared" si="11"/>
        <v>0</v>
      </c>
      <c r="K62" s="347">
        <f t="shared" si="11"/>
        <v>0</v>
      </c>
      <c r="L62" s="347">
        <f t="shared" si="11"/>
        <v>0</v>
      </c>
      <c r="M62" s="347">
        <f t="shared" si="11"/>
        <v>0</v>
      </c>
      <c r="N62" s="347">
        <f t="shared" si="11"/>
        <v>0</v>
      </c>
      <c r="O62" s="347">
        <f t="shared" si="11"/>
        <v>0</v>
      </c>
      <c r="P62" s="347">
        <f t="shared" si="11"/>
        <v>0</v>
      </c>
      <c r="T62" s="237"/>
      <c r="U62" s="237"/>
    </row>
    <row r="63" spans="1:21" ht="16.5" customHeight="1">
      <c r="A63" s="734" t="s">
        <v>118</v>
      </c>
      <c r="B63" s="735"/>
      <c r="C63" s="731">
        <f>SUM(E63:P63)</f>
        <v>104.042</v>
      </c>
      <c r="D63" s="732"/>
      <c r="E63" s="234">
        <f>'[1]касса'!C19/1000</f>
        <v>86.118</v>
      </c>
      <c r="F63" s="234">
        <f>'[1]касса'!D19/1000</f>
        <v>0</v>
      </c>
      <c r="G63" s="234">
        <f>'[1]касса'!E19/1000</f>
        <v>17.924</v>
      </c>
      <c r="H63" s="234"/>
      <c r="I63" s="234"/>
      <c r="J63" s="234"/>
      <c r="K63" s="234"/>
      <c r="L63" s="234"/>
      <c r="M63" s="234"/>
      <c r="N63" s="234"/>
      <c r="O63" s="234"/>
      <c r="P63" s="234"/>
      <c r="T63" s="237"/>
      <c r="U63" s="237"/>
    </row>
    <row r="64" spans="1:19" ht="53.25" customHeight="1">
      <c r="A64" s="736" t="s">
        <v>128</v>
      </c>
      <c r="B64" s="737"/>
      <c r="C64" s="738">
        <f>SUM(C65:D72)</f>
        <v>30.075</v>
      </c>
      <c r="D64" s="739"/>
      <c r="E64" s="346">
        <f aca="true" t="shared" si="12" ref="E64:P64">SUM(E65:E72)</f>
        <v>20</v>
      </c>
      <c r="F64" s="346">
        <f t="shared" si="12"/>
        <v>0</v>
      </c>
      <c r="G64" s="346">
        <f t="shared" si="12"/>
        <v>10.075</v>
      </c>
      <c r="H64" s="346">
        <f t="shared" si="12"/>
        <v>0</v>
      </c>
      <c r="I64" s="346">
        <f t="shared" si="12"/>
        <v>0</v>
      </c>
      <c r="J64" s="346">
        <f t="shared" si="12"/>
        <v>0</v>
      </c>
      <c r="K64" s="346">
        <f t="shared" si="12"/>
        <v>0</v>
      </c>
      <c r="L64" s="346">
        <f t="shared" si="12"/>
        <v>0</v>
      </c>
      <c r="M64" s="346">
        <f t="shared" si="12"/>
        <v>0</v>
      </c>
      <c r="N64" s="346">
        <f t="shared" si="12"/>
        <v>0</v>
      </c>
      <c r="O64" s="346">
        <f t="shared" si="12"/>
        <v>0</v>
      </c>
      <c r="P64" s="346">
        <f t="shared" si="12"/>
        <v>0</v>
      </c>
      <c r="Q64" s="211"/>
      <c r="R64" s="237"/>
      <c r="S64" s="237"/>
    </row>
    <row r="65" spans="1:21" ht="28.5" customHeight="1">
      <c r="A65" s="734" t="s">
        <v>129</v>
      </c>
      <c r="B65" s="735"/>
      <c r="C65" s="731">
        <f aca="true" t="shared" si="13" ref="C65:C72">SUM(E65:P65)</f>
        <v>0</v>
      </c>
      <c r="D65" s="732"/>
      <c r="E65" s="234"/>
      <c r="F65" s="234"/>
      <c r="G65" s="234"/>
      <c r="H65" s="234"/>
      <c r="I65" s="234"/>
      <c r="J65" s="234"/>
      <c r="K65" s="234"/>
      <c r="L65" s="234"/>
      <c r="M65" s="234"/>
      <c r="N65" s="239"/>
      <c r="O65" s="239"/>
      <c r="P65" s="239"/>
      <c r="T65" s="237"/>
      <c r="U65" s="237"/>
    </row>
    <row r="66" spans="1:21" ht="15.75" customHeight="1">
      <c r="A66" s="734" t="s">
        <v>42</v>
      </c>
      <c r="B66" s="735"/>
      <c r="C66" s="731">
        <f t="shared" si="13"/>
        <v>0</v>
      </c>
      <c r="D66" s="732"/>
      <c r="E66" s="234"/>
      <c r="F66" s="234"/>
      <c r="G66" s="234"/>
      <c r="H66" s="234"/>
      <c r="I66" s="234"/>
      <c r="J66" s="234"/>
      <c r="K66" s="234"/>
      <c r="L66" s="234"/>
      <c r="M66" s="234"/>
      <c r="N66" s="239"/>
      <c r="O66" s="239"/>
      <c r="P66" s="239"/>
      <c r="T66" s="237"/>
      <c r="U66" s="237"/>
    </row>
    <row r="67" spans="1:21" ht="27.75" customHeight="1">
      <c r="A67" s="734" t="s">
        <v>43</v>
      </c>
      <c r="B67" s="735"/>
      <c r="C67" s="731">
        <f t="shared" si="13"/>
        <v>0</v>
      </c>
      <c r="D67" s="732"/>
      <c r="E67" s="234"/>
      <c r="F67" s="234"/>
      <c r="G67" s="234"/>
      <c r="H67" s="234"/>
      <c r="I67" s="234"/>
      <c r="J67" s="234"/>
      <c r="K67" s="234"/>
      <c r="L67" s="234"/>
      <c r="M67" s="234"/>
      <c r="N67" s="239"/>
      <c r="O67" s="239"/>
      <c r="P67" s="239"/>
      <c r="T67" s="237"/>
      <c r="U67" s="237"/>
    </row>
    <row r="68" spans="1:21" ht="27.75" customHeight="1">
      <c r="A68" s="734" t="s">
        <v>44</v>
      </c>
      <c r="B68" s="735"/>
      <c r="C68" s="731">
        <f t="shared" si="13"/>
        <v>0</v>
      </c>
      <c r="D68" s="732"/>
      <c r="E68" s="234"/>
      <c r="F68" s="234"/>
      <c r="G68" s="234"/>
      <c r="H68" s="234"/>
      <c r="I68" s="234"/>
      <c r="J68" s="234"/>
      <c r="K68" s="234"/>
      <c r="L68" s="234"/>
      <c r="M68" s="234"/>
      <c r="N68" s="239"/>
      <c r="O68" s="239"/>
      <c r="P68" s="239"/>
      <c r="T68" s="237"/>
      <c r="U68" s="237"/>
    </row>
    <row r="69" spans="1:21" ht="27" customHeight="1">
      <c r="A69" s="734" t="s">
        <v>130</v>
      </c>
      <c r="B69" s="735"/>
      <c r="C69" s="731">
        <f t="shared" si="13"/>
        <v>0</v>
      </c>
      <c r="D69" s="732"/>
      <c r="E69" s="234"/>
      <c r="F69" s="234"/>
      <c r="G69" s="234"/>
      <c r="H69" s="234"/>
      <c r="I69" s="234"/>
      <c r="J69" s="234"/>
      <c r="K69" s="234"/>
      <c r="L69" s="234"/>
      <c r="M69" s="234"/>
      <c r="N69" s="239"/>
      <c r="O69" s="239"/>
      <c r="P69" s="239"/>
      <c r="T69" s="237"/>
      <c r="U69" s="237"/>
    </row>
    <row r="70" spans="1:21" ht="37.5" customHeight="1">
      <c r="A70" s="734" t="s">
        <v>45</v>
      </c>
      <c r="B70" s="735"/>
      <c r="C70" s="731">
        <f t="shared" si="13"/>
        <v>0</v>
      </c>
      <c r="D70" s="732"/>
      <c r="E70" s="234"/>
      <c r="F70" s="234"/>
      <c r="G70" s="234"/>
      <c r="H70" s="234"/>
      <c r="I70" s="234"/>
      <c r="J70" s="234"/>
      <c r="K70" s="234"/>
      <c r="L70" s="234"/>
      <c r="M70" s="234"/>
      <c r="N70" s="239"/>
      <c r="O70" s="239"/>
      <c r="P70" s="239"/>
      <c r="T70" s="237"/>
      <c r="U70" s="237"/>
    </row>
    <row r="71" spans="1:21" ht="27.75" customHeight="1">
      <c r="A71" s="734" t="s">
        <v>46</v>
      </c>
      <c r="B71" s="735"/>
      <c r="C71" s="731">
        <f t="shared" si="13"/>
        <v>0</v>
      </c>
      <c r="D71" s="732"/>
      <c r="E71" s="234"/>
      <c r="F71" s="234"/>
      <c r="G71" s="234"/>
      <c r="H71" s="234"/>
      <c r="I71" s="234"/>
      <c r="J71" s="234"/>
      <c r="K71" s="234"/>
      <c r="L71" s="234"/>
      <c r="M71" s="234"/>
      <c r="N71" s="239"/>
      <c r="O71" s="239"/>
      <c r="P71" s="239"/>
      <c r="T71" s="237"/>
      <c r="U71" s="237"/>
    </row>
    <row r="72" spans="1:21" ht="27.75" customHeight="1">
      <c r="A72" s="734" t="s">
        <v>47</v>
      </c>
      <c r="B72" s="735"/>
      <c r="C72" s="731">
        <f t="shared" si="13"/>
        <v>30.075</v>
      </c>
      <c r="D72" s="732"/>
      <c r="E72" s="234">
        <v>20</v>
      </c>
      <c r="F72" s="234"/>
      <c r="G72" s="234">
        <v>10.075</v>
      </c>
      <c r="H72" s="234"/>
      <c r="I72" s="234"/>
      <c r="J72" s="234"/>
      <c r="K72" s="234"/>
      <c r="L72" s="234"/>
      <c r="M72" s="234"/>
      <c r="N72" s="239"/>
      <c r="O72" s="239"/>
      <c r="P72" s="239"/>
      <c r="T72" s="237"/>
      <c r="U72" s="237"/>
    </row>
    <row r="74" spans="14:16" ht="12.75">
      <c r="N74" s="237"/>
      <c r="O74" s="237"/>
      <c r="P74" s="237"/>
    </row>
    <row r="75" spans="1:17" s="223" customFormat="1" ht="15">
      <c r="A75" s="223" t="s">
        <v>131</v>
      </c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P75" s="243"/>
      <c r="Q75" s="224"/>
    </row>
    <row r="76" spans="4:17" s="223" customFormat="1" ht="15" hidden="1"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P76" s="243"/>
      <c r="Q76" s="224"/>
    </row>
    <row r="77" spans="1:17" s="223" customFormat="1" ht="15">
      <c r="A77" s="223" t="s">
        <v>132</v>
      </c>
      <c r="P77" s="243"/>
      <c r="Q77" s="224"/>
    </row>
    <row r="78" spans="14:17" s="214" customFormat="1" ht="15">
      <c r="N78" s="244"/>
      <c r="Q78" s="217"/>
    </row>
    <row r="79" spans="1:9" s="214" customFormat="1" ht="15" customHeight="1">
      <c r="A79" s="726" t="s">
        <v>133</v>
      </c>
      <c r="B79" s="726" t="s">
        <v>102</v>
      </c>
      <c r="C79" s="727" t="s">
        <v>134</v>
      </c>
      <c r="D79" s="728"/>
      <c r="E79" s="245"/>
      <c r="F79" s="717" t="s">
        <v>135</v>
      </c>
      <c r="G79" s="718"/>
      <c r="I79" s="217"/>
    </row>
    <row r="80" spans="1:9" s="214" customFormat="1" ht="15" customHeight="1">
      <c r="A80" s="726"/>
      <c r="B80" s="726"/>
      <c r="C80" s="729"/>
      <c r="D80" s="730"/>
      <c r="E80" s="246"/>
      <c r="F80" s="719"/>
      <c r="G80" s="720"/>
      <c r="I80" s="217"/>
    </row>
    <row r="81" spans="1:9" s="214" customFormat="1" ht="24.75" customHeight="1">
      <c r="A81" s="247"/>
      <c r="B81" s="248"/>
      <c r="C81" s="590"/>
      <c r="D81" s="591"/>
      <c r="E81" s="228" t="s">
        <v>136</v>
      </c>
      <c r="F81" s="715" t="s">
        <v>136</v>
      </c>
      <c r="G81" s="716"/>
      <c r="I81" s="217"/>
    </row>
    <row r="82" spans="1:9" s="214" customFormat="1" ht="25.5" customHeight="1">
      <c r="A82" s="247"/>
      <c r="B82" s="248"/>
      <c r="C82" s="590"/>
      <c r="D82" s="591"/>
      <c r="E82" s="228"/>
      <c r="F82" s="715"/>
      <c r="G82" s="716"/>
      <c r="I82" s="217"/>
    </row>
    <row r="83" spans="1:9" s="214" customFormat="1" ht="26.25" customHeight="1">
      <c r="A83" s="247"/>
      <c r="B83" s="248"/>
      <c r="C83" s="590"/>
      <c r="D83" s="591"/>
      <c r="E83" s="228"/>
      <c r="F83" s="715"/>
      <c r="G83" s="716"/>
      <c r="I83" s="217"/>
    </row>
    <row r="84" spans="6:17" ht="15">
      <c r="F84" s="249"/>
      <c r="I84" s="213"/>
      <c r="Q84" s="211"/>
    </row>
    <row r="85" spans="6:17" ht="15">
      <c r="F85" s="249"/>
      <c r="I85" s="213"/>
      <c r="Q85" s="211"/>
    </row>
    <row r="86" spans="1:9" s="223" customFormat="1" ht="15">
      <c r="A86" s="223" t="s">
        <v>137</v>
      </c>
      <c r="F86" s="244"/>
      <c r="I86" s="224"/>
    </row>
    <row r="87" spans="6:17" ht="15">
      <c r="F87" s="249"/>
      <c r="I87" s="213"/>
      <c r="Q87" s="211"/>
    </row>
    <row r="88" spans="1:17" ht="12.75" customHeight="1">
      <c r="A88" s="726" t="s">
        <v>133</v>
      </c>
      <c r="B88" s="726" t="s">
        <v>102</v>
      </c>
      <c r="C88" s="727" t="s">
        <v>138</v>
      </c>
      <c r="D88" s="728"/>
      <c r="E88" s="245"/>
      <c r="F88" s="717" t="s">
        <v>139</v>
      </c>
      <c r="G88" s="718"/>
      <c r="I88" s="213"/>
      <c r="Q88" s="211"/>
    </row>
    <row r="89" spans="1:17" ht="12.75">
      <c r="A89" s="726"/>
      <c r="B89" s="726"/>
      <c r="C89" s="729"/>
      <c r="D89" s="730"/>
      <c r="E89" s="246"/>
      <c r="F89" s="719"/>
      <c r="G89" s="720"/>
      <c r="I89" s="213"/>
      <c r="Q89" s="211"/>
    </row>
    <row r="90" spans="1:17" ht="24.75" customHeight="1">
      <c r="A90" s="247"/>
      <c r="B90" s="248"/>
      <c r="C90" s="590"/>
      <c r="D90" s="591"/>
      <c r="E90" s="228" t="s">
        <v>136</v>
      </c>
      <c r="F90" s="715" t="s">
        <v>136</v>
      </c>
      <c r="G90" s="716"/>
      <c r="I90" s="213"/>
      <c r="Q90" s="211"/>
    </row>
    <row r="91" spans="1:17" ht="23.25" customHeight="1">
      <c r="A91" s="247"/>
      <c r="B91" s="248"/>
      <c r="C91" s="590"/>
      <c r="D91" s="591"/>
      <c r="E91" s="228"/>
      <c r="F91" s="715"/>
      <c r="G91" s="716"/>
      <c r="I91" s="213"/>
      <c r="Q91" s="211"/>
    </row>
    <row r="92" spans="1:17" ht="26.25" customHeight="1">
      <c r="A92" s="247"/>
      <c r="B92" s="248"/>
      <c r="C92" s="590"/>
      <c r="D92" s="591"/>
      <c r="E92" s="228"/>
      <c r="F92" s="715"/>
      <c r="G92" s="716"/>
      <c r="I92" s="213"/>
      <c r="Q92" s="211"/>
    </row>
    <row r="93" spans="4:14" ht="15"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49"/>
    </row>
    <row r="94" ht="15">
      <c r="N94" s="249"/>
    </row>
    <row r="95" spans="1:17" s="251" customFormat="1" ht="15">
      <c r="A95" s="223" t="s">
        <v>140</v>
      </c>
      <c r="B95" s="223"/>
      <c r="N95" s="249"/>
      <c r="Q95" s="252"/>
    </row>
    <row r="96" ht="15">
      <c r="N96" s="249"/>
    </row>
    <row r="97" spans="1:5" s="214" customFormat="1" ht="15" customHeight="1">
      <c r="A97" s="726" t="s">
        <v>133</v>
      </c>
      <c r="B97" s="726" t="s">
        <v>141</v>
      </c>
      <c r="C97" s="726" t="s">
        <v>52</v>
      </c>
      <c r="D97" s="726" t="s">
        <v>53</v>
      </c>
      <c r="E97" s="733" t="s">
        <v>142</v>
      </c>
    </row>
    <row r="98" spans="1:5" s="214" customFormat="1" ht="22.5" customHeight="1">
      <c r="A98" s="726"/>
      <c r="B98" s="726"/>
      <c r="C98" s="726"/>
      <c r="D98" s="726"/>
      <c r="E98" s="733"/>
    </row>
    <row r="99" spans="1:5" s="214" customFormat="1" ht="63.75">
      <c r="A99" s="247">
        <v>1</v>
      </c>
      <c r="B99" s="253" t="s">
        <v>60</v>
      </c>
      <c r="C99" s="254"/>
      <c r="D99" s="255" t="s">
        <v>143</v>
      </c>
      <c r="E99" s="255" t="s">
        <v>143</v>
      </c>
    </row>
    <row r="100" spans="1:17" ht="13.5" customHeight="1">
      <c r="A100" s="247">
        <v>2</v>
      </c>
      <c r="B100" s="256" t="s">
        <v>61</v>
      </c>
      <c r="C100" s="254"/>
      <c r="D100" s="227" t="s">
        <v>62</v>
      </c>
      <c r="E100" s="230" t="s">
        <v>136</v>
      </c>
      <c r="Q100" s="211"/>
    </row>
    <row r="101" spans="1:17" ht="38.25">
      <c r="A101" s="247">
        <v>3</v>
      </c>
      <c r="B101" s="256" t="s">
        <v>63</v>
      </c>
      <c r="C101" s="254"/>
      <c r="D101" s="227" t="s">
        <v>64</v>
      </c>
      <c r="E101" s="227" t="s">
        <v>64</v>
      </c>
      <c r="Q101" s="211"/>
    </row>
    <row r="102" spans="1:17" ht="39" customHeight="1">
      <c r="A102" s="247">
        <v>4</v>
      </c>
      <c r="B102" s="256" t="s">
        <v>63</v>
      </c>
      <c r="C102" s="254"/>
      <c r="D102" s="257" t="s">
        <v>65</v>
      </c>
      <c r="E102" s="257" t="s">
        <v>65</v>
      </c>
      <c r="Q102" s="211"/>
    </row>
    <row r="103" spans="1:17" ht="12.75">
      <c r="A103" s="258"/>
      <c r="B103" s="259"/>
      <c r="C103" s="260"/>
      <c r="D103" s="260"/>
      <c r="E103" s="260"/>
      <c r="F103" s="260"/>
      <c r="H103" s="260"/>
      <c r="K103" s="213"/>
      <c r="Q103" s="211"/>
    </row>
    <row r="104" spans="1:17" ht="12.75">
      <c r="A104" s="258"/>
      <c r="B104" s="259"/>
      <c r="C104" s="260"/>
      <c r="D104" s="260"/>
      <c r="E104" s="260"/>
      <c r="F104" s="260"/>
      <c r="H104" s="260"/>
      <c r="K104" s="213"/>
      <c r="Q104" s="211"/>
    </row>
    <row r="105" spans="1:17" ht="12.75">
      <c r="A105" s="258"/>
      <c r="B105" s="259"/>
      <c r="C105" s="260"/>
      <c r="D105" s="260"/>
      <c r="E105" s="260"/>
      <c r="F105" s="260"/>
      <c r="H105" s="260"/>
      <c r="K105" s="213"/>
      <c r="Q105" s="211"/>
    </row>
    <row r="106" spans="1:11" s="223" customFormat="1" ht="15">
      <c r="A106" s="223" t="s">
        <v>144</v>
      </c>
      <c r="K106" s="224"/>
    </row>
    <row r="107" spans="11:17" ht="12.75">
      <c r="K107" s="213"/>
      <c r="Q107" s="211"/>
    </row>
    <row r="108" spans="1:5" s="214" customFormat="1" ht="51">
      <c r="A108" s="723" t="s">
        <v>145</v>
      </c>
      <c r="B108" s="723"/>
      <c r="C108" s="227" t="s">
        <v>78</v>
      </c>
      <c r="D108" s="225" t="s">
        <v>146</v>
      </c>
      <c r="E108" s="227" t="s">
        <v>147</v>
      </c>
    </row>
    <row r="109" spans="1:5" s="214" customFormat="1" ht="42" customHeight="1">
      <c r="A109" s="724" t="s">
        <v>107</v>
      </c>
      <c r="B109" s="724"/>
      <c r="C109" s="227" t="s">
        <v>168</v>
      </c>
      <c r="D109" s="272">
        <f>C58+C64</f>
        <v>4031.3152199999995</v>
      </c>
      <c r="E109" s="247">
        <f>D31</f>
        <v>152</v>
      </c>
    </row>
    <row r="111" s="261" customFormat="1" ht="13.5" customHeight="1" thickBot="1"/>
    <row r="112" spans="1:2" s="261" customFormat="1" ht="15">
      <c r="A112" s="262" t="s">
        <v>22</v>
      </c>
      <c r="B112" s="263" t="s">
        <v>148</v>
      </c>
    </row>
    <row r="113" spans="1:17" s="214" customFormat="1" ht="15">
      <c r="A113" s="223" t="s">
        <v>149</v>
      </c>
      <c r="Q113" s="217"/>
    </row>
    <row r="114" spans="1:17" s="214" customFormat="1" ht="15">
      <c r="A114" s="223"/>
      <c r="Q114" s="217"/>
    </row>
    <row r="115" spans="1:17" s="251" customFormat="1" ht="17.25" customHeight="1">
      <c r="A115" s="725" t="s">
        <v>150</v>
      </c>
      <c r="B115" s="725"/>
      <c r="C115" s="725"/>
      <c r="D115" s="725"/>
      <c r="E115" s="725"/>
      <c r="F115" s="725"/>
      <c r="G115" s="725"/>
      <c r="H115" s="725"/>
      <c r="I115" s="725"/>
      <c r="J115" s="725"/>
      <c r="K115" s="725"/>
      <c r="L115" s="725"/>
      <c r="M115" s="725"/>
      <c r="N115" s="725"/>
      <c r="O115" s="725"/>
      <c r="Q115" s="252"/>
    </row>
    <row r="117" spans="1:17" ht="12.75">
      <c r="A117" s="750"/>
      <c r="B117" s="750"/>
      <c r="C117" s="750"/>
      <c r="D117" s="750"/>
      <c r="E117" s="264"/>
      <c r="G117" s="213"/>
      <c r="Q117" s="211"/>
    </row>
    <row r="118" spans="1:17" ht="17.25" customHeight="1">
      <c r="A118" s="265"/>
      <c r="B118" s="265"/>
      <c r="C118" s="265"/>
      <c r="D118" s="265"/>
      <c r="E118" s="265"/>
      <c r="G118" s="213"/>
      <c r="Q118" s="211"/>
    </row>
    <row r="119" spans="1:17" ht="17.25" customHeight="1">
      <c r="A119" s="265"/>
      <c r="B119" s="265"/>
      <c r="C119" s="265"/>
      <c r="D119" s="265"/>
      <c r="E119" s="265"/>
      <c r="G119" s="213"/>
      <c r="Q119" s="211"/>
    </row>
    <row r="120" spans="1:17" ht="12.75">
      <c r="A120" s="260"/>
      <c r="B120" s="260"/>
      <c r="C120" s="260"/>
      <c r="D120" s="260"/>
      <c r="E120" s="260"/>
      <c r="G120" s="213"/>
      <c r="Q120" s="211"/>
    </row>
    <row r="121" ht="12.75" hidden="1"/>
    <row r="123" spans="1:17" s="214" customFormat="1" ht="36" customHeight="1">
      <c r="A123" s="725" t="s">
        <v>151</v>
      </c>
      <c r="B123" s="725"/>
      <c r="C123" s="725"/>
      <c r="D123" s="725"/>
      <c r="E123" s="725"/>
      <c r="F123" s="725"/>
      <c r="G123" s="725"/>
      <c r="H123" s="725"/>
      <c r="I123" s="725"/>
      <c r="J123" s="725"/>
      <c r="K123" s="725"/>
      <c r="L123" s="725"/>
      <c r="M123" s="725"/>
      <c r="N123" s="725"/>
      <c r="O123" s="725"/>
      <c r="Q123" s="217"/>
    </row>
    <row r="125" spans="1:17" ht="12.75">
      <c r="A125" s="264"/>
      <c r="B125" s="264"/>
      <c r="C125" s="264"/>
      <c r="D125" s="264"/>
      <c r="E125" s="264"/>
      <c r="F125" s="264"/>
      <c r="G125" s="213"/>
      <c r="Q125" s="211"/>
    </row>
    <row r="126" spans="1:17" ht="17.25" customHeight="1">
      <c r="A126" s="265"/>
      <c r="B126" s="265"/>
      <c r="C126" s="265"/>
      <c r="D126" s="265"/>
      <c r="E126" s="265"/>
      <c r="G126" s="213"/>
      <c r="Q126" s="211"/>
    </row>
    <row r="127" spans="1:17" ht="15.75" customHeight="1">
      <c r="A127" s="265"/>
      <c r="B127" s="265"/>
      <c r="C127" s="265"/>
      <c r="D127" s="265"/>
      <c r="E127" s="265"/>
      <c r="G127" s="213"/>
      <c r="Q127" s="211"/>
    </row>
    <row r="128" spans="1:17" ht="12.75">
      <c r="A128" s="260"/>
      <c r="B128" s="260"/>
      <c r="C128" s="260"/>
      <c r="D128" s="260"/>
      <c r="E128" s="260"/>
      <c r="G128" s="213"/>
      <c r="Q128" s="211"/>
    </row>
    <row r="129" spans="7:17" ht="12.75">
      <c r="G129" s="213"/>
      <c r="Q129" s="211"/>
    </row>
    <row r="130" spans="1:17" s="223" customFormat="1" ht="27.75" customHeight="1">
      <c r="A130" s="223" t="s">
        <v>152</v>
      </c>
      <c r="Q130" s="224"/>
    </row>
    <row r="131" spans="2:17" ht="12.75">
      <c r="B131" s="260"/>
      <c r="G131" s="213"/>
      <c r="Q131" s="211"/>
    </row>
    <row r="132" spans="1:17" ht="12.75">
      <c r="A132" s="266"/>
      <c r="B132" s="264"/>
      <c r="C132" s="266"/>
      <c r="D132" s="266"/>
      <c r="E132" s="266"/>
      <c r="G132" s="213"/>
      <c r="Q132" s="211"/>
    </row>
    <row r="133" spans="1:17" ht="16.5" customHeight="1">
      <c r="A133" s="265"/>
      <c r="B133" s="265"/>
      <c r="C133" s="265"/>
      <c r="D133" s="265"/>
      <c r="E133" s="265"/>
      <c r="G133" s="213"/>
      <c r="Q133" s="211"/>
    </row>
    <row r="134" spans="1:17" ht="15.75" customHeight="1">
      <c r="A134" s="265"/>
      <c r="B134" s="265"/>
      <c r="C134" s="265"/>
      <c r="D134" s="265"/>
      <c r="E134" s="265"/>
      <c r="G134" s="213"/>
      <c r="Q134" s="211"/>
    </row>
    <row r="135" spans="1:14" ht="12.75">
      <c r="A135" s="260"/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</row>
    <row r="136" spans="1:14" ht="12.75">
      <c r="A136" s="260"/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</row>
    <row r="137" spans="1:14" ht="12.75">
      <c r="A137" s="260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</row>
    <row r="140" spans="1:13" s="214" customFormat="1" ht="16.5">
      <c r="A140" s="721" t="s">
        <v>170</v>
      </c>
      <c r="B140" s="721"/>
      <c r="D140" s="273"/>
      <c r="L140" s="273" t="s">
        <v>364</v>
      </c>
      <c r="M140" s="214" t="s">
        <v>101</v>
      </c>
    </row>
    <row r="141" spans="1:17" s="214" customFormat="1" ht="16.5">
      <c r="A141" s="267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Q141" s="217"/>
    </row>
    <row r="142" spans="1:16" s="214" customFormat="1" ht="16.5">
      <c r="A142" s="267"/>
      <c r="B142" s="224" t="s">
        <v>102</v>
      </c>
      <c r="C142" s="342">
        <v>41365</v>
      </c>
      <c r="D142" s="224" t="s">
        <v>103</v>
      </c>
      <c r="E142" s="224"/>
      <c r="F142" s="224"/>
      <c r="G142" s="224"/>
      <c r="H142" s="224"/>
      <c r="I142" s="224"/>
      <c r="J142" s="224"/>
      <c r="K142" s="224"/>
      <c r="L142" s="224"/>
      <c r="M142" s="224"/>
      <c r="P142" s="217"/>
    </row>
    <row r="143" spans="1:3" ht="21" customHeight="1">
      <c r="A143" s="269"/>
      <c r="B143" s="270"/>
      <c r="C143" s="270"/>
    </row>
    <row r="144" spans="1:3" ht="16.5" customHeight="1">
      <c r="A144" s="269"/>
      <c r="B144" s="270"/>
      <c r="C144" s="270"/>
    </row>
    <row r="145" spans="2:3" ht="12.75" customHeight="1">
      <c r="B145" s="270"/>
      <c r="C145" s="270"/>
    </row>
    <row r="146" spans="2:3" ht="12.75" customHeight="1">
      <c r="B146" s="270"/>
      <c r="C146" s="270"/>
    </row>
    <row r="147" spans="2:3" ht="12.75" customHeight="1">
      <c r="B147" s="270"/>
      <c r="C147" s="270"/>
    </row>
    <row r="148" spans="2:3" ht="12" customHeight="1">
      <c r="B148" s="270"/>
      <c r="C148" s="270"/>
    </row>
    <row r="149" ht="12" customHeight="1">
      <c r="C149" s="270"/>
    </row>
    <row r="150" ht="13.5" customHeight="1">
      <c r="C150" s="270"/>
    </row>
  </sheetData>
  <sheetProtection/>
  <mergeCells count="110">
    <mergeCell ref="A25:P25"/>
    <mergeCell ref="A26:B26"/>
    <mergeCell ref="A13:P13"/>
    <mergeCell ref="A14:P14"/>
    <mergeCell ref="A24:B24"/>
    <mergeCell ref="E24:P24"/>
    <mergeCell ref="N40:P40"/>
    <mergeCell ref="A41:P41"/>
    <mergeCell ref="A27:B27"/>
    <mergeCell ref="A28:B28"/>
    <mergeCell ref="A29:B29"/>
    <mergeCell ref="A30:P30"/>
    <mergeCell ref="A31:B31"/>
    <mergeCell ref="A32:B32"/>
    <mergeCell ref="A44:B44"/>
    <mergeCell ref="C44:D44"/>
    <mergeCell ref="A33:B33"/>
    <mergeCell ref="A34:B34"/>
    <mergeCell ref="A40:B40"/>
    <mergeCell ref="C40:D40"/>
    <mergeCell ref="A42:B42"/>
    <mergeCell ref="C42:D42"/>
    <mergeCell ref="A43:B43"/>
    <mergeCell ref="C43:D43"/>
    <mergeCell ref="A47:B47"/>
    <mergeCell ref="C47:D47"/>
    <mergeCell ref="A48:B48"/>
    <mergeCell ref="C48:D48"/>
    <mergeCell ref="A45:B45"/>
    <mergeCell ref="C45:D45"/>
    <mergeCell ref="A46:B46"/>
    <mergeCell ref="C46:D46"/>
    <mergeCell ref="A53:B53"/>
    <mergeCell ref="C53:D53"/>
    <mergeCell ref="A54:B54"/>
    <mergeCell ref="C54:D54"/>
    <mergeCell ref="A51:B51"/>
    <mergeCell ref="C51:D51"/>
    <mergeCell ref="A52:B52"/>
    <mergeCell ref="C52:D52"/>
    <mergeCell ref="A49:B49"/>
    <mergeCell ref="C49:D49"/>
    <mergeCell ref="A50:B50"/>
    <mergeCell ref="C50:D50"/>
    <mergeCell ref="A60:B60"/>
    <mergeCell ref="C60:D60"/>
    <mergeCell ref="A61:B61"/>
    <mergeCell ref="A55:B55"/>
    <mergeCell ref="C55:D55"/>
    <mergeCell ref="A56:B56"/>
    <mergeCell ref="C56:D56"/>
    <mergeCell ref="A57:P57"/>
    <mergeCell ref="A58:B58"/>
    <mergeCell ref="C58:D58"/>
    <mergeCell ref="A59:B59"/>
    <mergeCell ref="C59:D59"/>
    <mergeCell ref="A65:B65"/>
    <mergeCell ref="C65:D65"/>
    <mergeCell ref="A66:B66"/>
    <mergeCell ref="A63:B63"/>
    <mergeCell ref="C63:D63"/>
    <mergeCell ref="A70:B70"/>
    <mergeCell ref="C70:D70"/>
    <mergeCell ref="A71:B71"/>
    <mergeCell ref="C61:D61"/>
    <mergeCell ref="A62:B62"/>
    <mergeCell ref="C62:D62"/>
    <mergeCell ref="A69:B69"/>
    <mergeCell ref="C69:D69"/>
    <mergeCell ref="A64:B64"/>
    <mergeCell ref="C64:D64"/>
    <mergeCell ref="C66:D66"/>
    <mergeCell ref="A67:B67"/>
    <mergeCell ref="C67:D67"/>
    <mergeCell ref="A68:B68"/>
    <mergeCell ref="C68:D68"/>
    <mergeCell ref="C82:D82"/>
    <mergeCell ref="F82:G82"/>
    <mergeCell ref="B79:B80"/>
    <mergeCell ref="C79:D80"/>
    <mergeCell ref="A88:A89"/>
    <mergeCell ref="B88:B89"/>
    <mergeCell ref="C88:D89"/>
    <mergeCell ref="F88:G89"/>
    <mergeCell ref="C71:D71"/>
    <mergeCell ref="A72:B72"/>
    <mergeCell ref="C72:D72"/>
    <mergeCell ref="F79:G80"/>
    <mergeCell ref="C81:D81"/>
    <mergeCell ref="F81:G81"/>
    <mergeCell ref="A79:A80"/>
    <mergeCell ref="D97:D98"/>
    <mergeCell ref="E97:E98"/>
    <mergeCell ref="C83:D83"/>
    <mergeCell ref="F83:G83"/>
    <mergeCell ref="F90:G90"/>
    <mergeCell ref="C91:D91"/>
    <mergeCell ref="F91:G91"/>
    <mergeCell ref="C90:D90"/>
    <mergeCell ref="A140:B140"/>
    <mergeCell ref="A97:A98"/>
    <mergeCell ref="B97:B98"/>
    <mergeCell ref="C97:C98"/>
    <mergeCell ref="A109:B109"/>
    <mergeCell ref="A115:O115"/>
    <mergeCell ref="A117:D117"/>
    <mergeCell ref="A123:O123"/>
    <mergeCell ref="C92:D92"/>
    <mergeCell ref="F92:G92"/>
    <mergeCell ref="A108:B10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C105">
      <selection activeCell="Q23" sqref="Q23"/>
    </sheetView>
  </sheetViews>
  <sheetFormatPr defaultColWidth="9.00390625" defaultRowHeight="12.75"/>
  <cols>
    <col min="1" max="1" width="9.125" style="211" customWidth="1"/>
    <col min="2" max="2" width="52.25390625" style="211" customWidth="1"/>
    <col min="3" max="3" width="15.875" style="211" customWidth="1"/>
    <col min="4" max="4" width="18.25390625" style="211" customWidth="1"/>
    <col min="5" max="6" width="16.25390625" style="211" customWidth="1"/>
    <col min="7" max="7" width="16.625" style="211" customWidth="1"/>
    <col min="8" max="10" width="16.75390625" style="211" hidden="1" customWidth="1"/>
    <col min="11" max="11" width="18.00390625" style="211" hidden="1" customWidth="1"/>
    <col min="12" max="12" width="17.75390625" style="211" hidden="1" customWidth="1"/>
    <col min="13" max="13" width="17.125" style="211" hidden="1" customWidth="1"/>
    <col min="14" max="14" width="16.875" style="211" hidden="1" customWidth="1"/>
    <col min="15" max="15" width="15.25390625" style="211" hidden="1" customWidth="1"/>
    <col min="16" max="16" width="15.125" style="211" hidden="1" customWidth="1"/>
    <col min="17" max="17" width="14.25390625" style="213" hidden="1" customWidth="1"/>
    <col min="18" max="18" width="16.25390625" style="211" hidden="1" customWidth="1"/>
    <col min="19" max="19" width="9.125" style="211" hidden="1" customWidth="1"/>
    <col min="20" max="20" width="10.125" style="211" bestFit="1" customWidth="1"/>
    <col min="21" max="21" width="9.625" style="211" bestFit="1" customWidth="1"/>
    <col min="22" max="16384" width="9.125" style="211" customWidth="1"/>
  </cols>
  <sheetData>
    <row r="1" ht="11.25" customHeight="1">
      <c r="G1" s="212" t="s">
        <v>104</v>
      </c>
    </row>
    <row r="2" ht="9" customHeight="1">
      <c r="G2" s="212" t="s">
        <v>381</v>
      </c>
    </row>
    <row r="3" ht="9.75" customHeight="1">
      <c r="G3" s="212" t="s">
        <v>382</v>
      </c>
    </row>
    <row r="4" ht="9.75" customHeight="1">
      <c r="G4" s="212" t="s">
        <v>383</v>
      </c>
    </row>
    <row r="5" ht="9" customHeight="1">
      <c r="G5" s="212" t="s">
        <v>384</v>
      </c>
    </row>
    <row r="6" ht="10.5" customHeight="1">
      <c r="G6" s="212" t="s">
        <v>385</v>
      </c>
    </row>
    <row r="7" ht="9" customHeight="1">
      <c r="G7" s="212" t="s">
        <v>386</v>
      </c>
    </row>
    <row r="8" ht="9.75" customHeight="1">
      <c r="G8" s="212" t="s">
        <v>387</v>
      </c>
    </row>
    <row r="9" ht="9" customHeight="1">
      <c r="G9" s="212" t="s">
        <v>388</v>
      </c>
    </row>
    <row r="10" ht="9.75" customHeight="1">
      <c r="G10" s="212" t="s">
        <v>389</v>
      </c>
    </row>
    <row r="11" spans="2:17" s="214" customFormat="1" ht="15.75">
      <c r="B11" s="215"/>
      <c r="C11" s="216" t="s">
        <v>105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Q11" s="217"/>
    </row>
    <row r="12" spans="2:17" s="214" customFormat="1" ht="15.75">
      <c r="B12" s="215"/>
      <c r="C12" s="216" t="s">
        <v>106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Q12" s="217"/>
    </row>
    <row r="13" spans="1:17" s="214" customFormat="1" ht="33" customHeight="1">
      <c r="A13" s="748" t="s">
        <v>107</v>
      </c>
      <c r="B13" s="749"/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217"/>
    </row>
    <row r="14" spans="1:17" s="214" customFormat="1" ht="18.75" customHeight="1">
      <c r="A14" s="749" t="s">
        <v>167</v>
      </c>
      <c r="B14" s="749"/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217"/>
    </row>
    <row r="15" spans="1:17" s="214" customFormat="1" ht="15.7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7"/>
    </row>
    <row r="16" spans="2:17" s="214" customFormat="1" ht="15.75">
      <c r="B16" s="215"/>
      <c r="C16" s="216" t="s">
        <v>176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Q16" s="217"/>
    </row>
    <row r="17" spans="2:17" s="214" customFormat="1" ht="15.75">
      <c r="B17" s="215"/>
      <c r="C17" s="216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Q17" s="217"/>
    </row>
    <row r="18" spans="1:17" s="214" customFormat="1" ht="17.25" customHeight="1">
      <c r="A18" s="219" t="s">
        <v>108</v>
      </c>
      <c r="B18" s="220"/>
      <c r="C18" s="343" t="s">
        <v>171</v>
      </c>
      <c r="D18" s="343"/>
      <c r="E18" s="221"/>
      <c r="F18" s="221"/>
      <c r="G18" s="221"/>
      <c r="H18" s="221"/>
      <c r="I18" s="221"/>
      <c r="J18" s="221"/>
      <c r="K18" s="221"/>
      <c r="L18" s="221"/>
      <c r="M18" s="221"/>
      <c r="Q18" s="217"/>
    </row>
    <row r="19" spans="2:17" s="214" customFormat="1" ht="12.75" customHeight="1" hidden="1">
      <c r="B19" s="222"/>
      <c r="C19" s="343"/>
      <c r="D19" s="343"/>
      <c r="Q19" s="217"/>
    </row>
    <row r="20" spans="2:17" s="214" customFormat="1" ht="12.75">
      <c r="B20" s="222"/>
      <c r="C20" s="343" t="s">
        <v>172</v>
      </c>
      <c r="D20" s="343"/>
      <c r="Q20" s="217"/>
    </row>
    <row r="21" spans="1:17" s="223" customFormat="1" ht="15">
      <c r="A21" s="223" t="s">
        <v>109</v>
      </c>
      <c r="C21" s="344"/>
      <c r="D21" s="344"/>
      <c r="Q21" s="224"/>
    </row>
    <row r="22" spans="1:17" s="223" customFormat="1" ht="15">
      <c r="A22" s="223" t="s">
        <v>110</v>
      </c>
      <c r="Q22" s="224"/>
    </row>
    <row r="24" spans="1:16" ht="39" customHeight="1">
      <c r="A24" s="580" t="s">
        <v>111</v>
      </c>
      <c r="B24" s="581"/>
      <c r="C24" s="227" t="s">
        <v>261</v>
      </c>
      <c r="D24" s="227" t="s">
        <v>112</v>
      </c>
      <c r="E24" s="580" t="s">
        <v>113</v>
      </c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581"/>
    </row>
    <row r="25" spans="1:16" ht="21.75" customHeight="1">
      <c r="A25" s="590" t="s">
        <v>114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591"/>
    </row>
    <row r="26" spans="1:19" ht="64.5" customHeight="1">
      <c r="A26" s="734" t="s">
        <v>115</v>
      </c>
      <c r="B26" s="735"/>
      <c r="C26" s="229" t="s">
        <v>406</v>
      </c>
      <c r="D26" s="230">
        <v>152</v>
      </c>
      <c r="E26" s="230">
        <f aca="true" t="shared" si="0" ref="E26:M26">E27</f>
        <v>342</v>
      </c>
      <c r="F26" s="230">
        <f t="shared" si="0"/>
        <v>342</v>
      </c>
      <c r="G26" s="230">
        <f t="shared" si="0"/>
        <v>150</v>
      </c>
      <c r="H26" s="230">
        <f t="shared" si="0"/>
        <v>0</v>
      </c>
      <c r="I26" s="230">
        <f t="shared" si="0"/>
        <v>0</v>
      </c>
      <c r="J26" s="230">
        <f t="shared" si="0"/>
        <v>0</v>
      </c>
      <c r="K26" s="230">
        <f t="shared" si="0"/>
        <v>0</v>
      </c>
      <c r="L26" s="230">
        <f t="shared" si="0"/>
        <v>0</v>
      </c>
      <c r="M26" s="230">
        <f t="shared" si="0"/>
        <v>0</v>
      </c>
      <c r="N26" s="230">
        <f>N27</f>
        <v>0</v>
      </c>
      <c r="O26" s="230">
        <f>O27</f>
        <v>0</v>
      </c>
      <c r="P26" s="230">
        <f>P27</f>
        <v>0</v>
      </c>
      <c r="S26" s="211">
        <f>COUNTIF(E26:P26,"&gt;0")</f>
        <v>3</v>
      </c>
    </row>
    <row r="27" spans="1:19" ht="12.75">
      <c r="A27" s="734" t="s">
        <v>116</v>
      </c>
      <c r="B27" s="735"/>
      <c r="C27" s="229" t="s">
        <v>406</v>
      </c>
      <c r="D27" s="230">
        <v>152</v>
      </c>
      <c r="E27" s="230">
        <f>'мун.задание'!D74</f>
        <v>342</v>
      </c>
      <c r="F27" s="230">
        <f>'мун.задание'!E74</f>
        <v>342</v>
      </c>
      <c r="G27" s="230">
        <v>150</v>
      </c>
      <c r="H27" s="230"/>
      <c r="I27" s="230"/>
      <c r="J27" s="230"/>
      <c r="K27" s="230"/>
      <c r="L27" s="230"/>
      <c r="M27" s="230"/>
      <c r="N27" s="230"/>
      <c r="O27" s="230"/>
      <c r="P27" s="230"/>
      <c r="S27" s="211">
        <f>COUNTIF(E27:P27,"&gt;0")</f>
        <v>3</v>
      </c>
    </row>
    <row r="28" spans="1:19" ht="15" customHeight="1">
      <c r="A28" s="734" t="s">
        <v>117</v>
      </c>
      <c r="B28" s="735"/>
      <c r="C28" s="229" t="s">
        <v>406</v>
      </c>
      <c r="D28" s="230">
        <v>152</v>
      </c>
      <c r="E28" s="230">
        <f>'мун.задание'!D75</f>
        <v>342</v>
      </c>
      <c r="F28" s="230">
        <f>'мун.задание'!E75</f>
        <v>342</v>
      </c>
      <c r="G28" s="230">
        <v>150</v>
      </c>
      <c r="H28" s="230"/>
      <c r="I28" s="230"/>
      <c r="J28" s="230"/>
      <c r="K28" s="230"/>
      <c r="L28" s="230"/>
      <c r="M28" s="230"/>
      <c r="N28" s="230"/>
      <c r="O28" s="230"/>
      <c r="P28" s="230"/>
      <c r="S28" s="211">
        <f>COUNTIF(E28:P28,"&gt;0")</f>
        <v>3</v>
      </c>
    </row>
    <row r="29" spans="1:19" ht="15" customHeight="1">
      <c r="A29" s="734" t="s">
        <v>118</v>
      </c>
      <c r="B29" s="735"/>
      <c r="C29" s="229" t="s">
        <v>406</v>
      </c>
      <c r="D29" s="230">
        <v>152</v>
      </c>
      <c r="E29" s="230">
        <f>'мун.задание'!D76</f>
        <v>342</v>
      </c>
      <c r="F29" s="230">
        <f>'мун.задание'!E76</f>
        <v>342</v>
      </c>
      <c r="G29" s="230">
        <v>150</v>
      </c>
      <c r="H29" s="230"/>
      <c r="I29" s="230"/>
      <c r="J29" s="230"/>
      <c r="K29" s="230"/>
      <c r="L29" s="230"/>
      <c r="M29" s="230"/>
      <c r="N29" s="230"/>
      <c r="O29" s="230"/>
      <c r="P29" s="230"/>
      <c r="S29" s="211">
        <f>COUNTIF(E29:P29,"&gt;0")</f>
        <v>3</v>
      </c>
    </row>
    <row r="30" spans="1:16" ht="22.5" customHeight="1">
      <c r="A30" s="590" t="s">
        <v>119</v>
      </c>
      <c r="B30" s="742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591"/>
    </row>
    <row r="31" spans="1:19" ht="63" customHeight="1">
      <c r="A31" s="734" t="s">
        <v>120</v>
      </c>
      <c r="B31" s="735"/>
      <c r="C31" s="229" t="s">
        <v>406</v>
      </c>
      <c r="D31" s="230">
        <v>152</v>
      </c>
      <c r="E31" s="230">
        <f aca="true" t="shared" si="1" ref="E31:P31">E32</f>
        <v>342</v>
      </c>
      <c r="F31" s="230">
        <f t="shared" si="1"/>
        <v>342</v>
      </c>
      <c r="G31" s="230">
        <f t="shared" si="1"/>
        <v>150</v>
      </c>
      <c r="H31" s="230">
        <f t="shared" si="1"/>
        <v>0</v>
      </c>
      <c r="I31" s="230">
        <f t="shared" si="1"/>
        <v>0</v>
      </c>
      <c r="J31" s="230">
        <f t="shared" si="1"/>
        <v>0</v>
      </c>
      <c r="K31" s="230">
        <f t="shared" si="1"/>
        <v>0</v>
      </c>
      <c r="L31" s="230">
        <f t="shared" si="1"/>
        <v>0</v>
      </c>
      <c r="M31" s="230">
        <f t="shared" si="1"/>
        <v>0</v>
      </c>
      <c r="N31" s="230">
        <f t="shared" si="1"/>
        <v>0</v>
      </c>
      <c r="O31" s="230">
        <f t="shared" si="1"/>
        <v>0</v>
      </c>
      <c r="P31" s="230">
        <f t="shared" si="1"/>
        <v>0</v>
      </c>
      <c r="S31" s="211">
        <f>COUNTIF(E31:P31,"&gt;0")</f>
        <v>3</v>
      </c>
    </row>
    <row r="32" spans="1:19" ht="12.75">
      <c r="A32" s="734" t="s">
        <v>116</v>
      </c>
      <c r="B32" s="735"/>
      <c r="C32" s="229" t="s">
        <v>406</v>
      </c>
      <c r="D32" s="230">
        <v>152</v>
      </c>
      <c r="E32" s="230">
        <f>E27</f>
        <v>342</v>
      </c>
      <c r="F32" s="230">
        <f aca="true" t="shared" si="2" ref="F32:P32">F27</f>
        <v>342</v>
      </c>
      <c r="G32" s="230">
        <f t="shared" si="2"/>
        <v>150</v>
      </c>
      <c r="H32" s="230">
        <f t="shared" si="2"/>
        <v>0</v>
      </c>
      <c r="I32" s="230">
        <f t="shared" si="2"/>
        <v>0</v>
      </c>
      <c r="J32" s="230">
        <f t="shared" si="2"/>
        <v>0</v>
      </c>
      <c r="K32" s="230">
        <f t="shared" si="2"/>
        <v>0</v>
      </c>
      <c r="L32" s="230">
        <f t="shared" si="2"/>
        <v>0</v>
      </c>
      <c r="M32" s="230">
        <f t="shared" si="2"/>
        <v>0</v>
      </c>
      <c r="N32" s="230">
        <f t="shared" si="2"/>
        <v>0</v>
      </c>
      <c r="O32" s="230">
        <f t="shared" si="2"/>
        <v>0</v>
      </c>
      <c r="P32" s="230">
        <f t="shared" si="2"/>
        <v>0</v>
      </c>
      <c r="S32" s="211">
        <f>COUNTIF(E32:P32,"&gt;0")</f>
        <v>3</v>
      </c>
    </row>
    <row r="33" spans="1:19" ht="13.5" customHeight="1">
      <c r="A33" s="734" t="s">
        <v>117</v>
      </c>
      <c r="B33" s="735"/>
      <c r="C33" s="229" t="s">
        <v>406</v>
      </c>
      <c r="D33" s="230">
        <v>152</v>
      </c>
      <c r="E33" s="230">
        <f aca="true" t="shared" si="3" ref="E33:P34">E28</f>
        <v>342</v>
      </c>
      <c r="F33" s="230">
        <f t="shared" si="3"/>
        <v>342</v>
      </c>
      <c r="G33" s="230">
        <f t="shared" si="3"/>
        <v>150</v>
      </c>
      <c r="H33" s="230">
        <f t="shared" si="3"/>
        <v>0</v>
      </c>
      <c r="I33" s="230">
        <f t="shared" si="3"/>
        <v>0</v>
      </c>
      <c r="J33" s="230">
        <f t="shared" si="3"/>
        <v>0</v>
      </c>
      <c r="K33" s="230">
        <f t="shared" si="3"/>
        <v>0</v>
      </c>
      <c r="L33" s="230">
        <f t="shared" si="3"/>
        <v>0</v>
      </c>
      <c r="M33" s="230">
        <f t="shared" si="3"/>
        <v>0</v>
      </c>
      <c r="N33" s="230">
        <f t="shared" si="3"/>
        <v>0</v>
      </c>
      <c r="O33" s="230">
        <f t="shared" si="3"/>
        <v>0</v>
      </c>
      <c r="P33" s="230">
        <f t="shared" si="3"/>
        <v>0</v>
      </c>
      <c r="S33" s="211">
        <f>COUNTIF(E33:P33,"&gt;0")</f>
        <v>3</v>
      </c>
    </row>
    <row r="34" spans="1:19" ht="13.5" customHeight="1">
      <c r="A34" s="734" t="s">
        <v>118</v>
      </c>
      <c r="B34" s="735"/>
      <c r="C34" s="229" t="s">
        <v>406</v>
      </c>
      <c r="D34" s="230">
        <v>152</v>
      </c>
      <c r="E34" s="230">
        <f t="shared" si="3"/>
        <v>342</v>
      </c>
      <c r="F34" s="230">
        <f t="shared" si="3"/>
        <v>342</v>
      </c>
      <c r="G34" s="230">
        <f t="shared" si="3"/>
        <v>150</v>
      </c>
      <c r="H34" s="230">
        <f t="shared" si="3"/>
        <v>0</v>
      </c>
      <c r="I34" s="230">
        <f t="shared" si="3"/>
        <v>0</v>
      </c>
      <c r="J34" s="230">
        <f t="shared" si="3"/>
        <v>0</v>
      </c>
      <c r="K34" s="230">
        <f t="shared" si="3"/>
        <v>0</v>
      </c>
      <c r="L34" s="230">
        <f t="shared" si="3"/>
        <v>0</v>
      </c>
      <c r="M34" s="230">
        <f t="shared" si="3"/>
        <v>0</v>
      </c>
      <c r="N34" s="230">
        <f t="shared" si="3"/>
        <v>0</v>
      </c>
      <c r="O34" s="230">
        <f t="shared" si="3"/>
        <v>0</v>
      </c>
      <c r="P34" s="230">
        <f t="shared" si="3"/>
        <v>0</v>
      </c>
      <c r="S34" s="211">
        <f>COUNTIF(E34:P34,"&gt;0")</f>
        <v>3</v>
      </c>
    </row>
    <row r="38" spans="1:17" s="223" customFormat="1" ht="15">
      <c r="A38" s="223" t="s">
        <v>121</v>
      </c>
      <c r="Q38" s="224"/>
    </row>
    <row r="40" spans="1:16" ht="31.5" customHeight="1">
      <c r="A40" s="580" t="s">
        <v>111</v>
      </c>
      <c r="B40" s="581"/>
      <c r="C40" s="580" t="s">
        <v>122</v>
      </c>
      <c r="D40" s="581"/>
      <c r="E40" s="226"/>
      <c r="F40" s="226"/>
      <c r="G40" s="226"/>
      <c r="H40" s="226"/>
      <c r="I40" s="226"/>
      <c r="J40" s="226"/>
      <c r="K40" s="226"/>
      <c r="L40" s="226"/>
      <c r="M40" s="226"/>
      <c r="N40" s="580" t="s">
        <v>123</v>
      </c>
      <c r="O40" s="722"/>
      <c r="P40" s="581"/>
    </row>
    <row r="41" spans="1:16" ht="19.5" customHeight="1">
      <c r="A41" s="590" t="s">
        <v>114</v>
      </c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591"/>
    </row>
    <row r="42" spans="1:20" ht="67.5" customHeight="1">
      <c r="A42" s="743" t="s">
        <v>124</v>
      </c>
      <c r="B42" s="744"/>
      <c r="C42" s="745">
        <f>C43+C46</f>
        <v>12008.462669999999</v>
      </c>
      <c r="D42" s="746"/>
      <c r="E42" s="271">
        <f>E43+E46</f>
        <v>887.2169999999999</v>
      </c>
      <c r="F42" s="271">
        <f aca="true" t="shared" si="4" ref="F42:P42">F43+F46</f>
        <v>778.888</v>
      </c>
      <c r="G42" s="271">
        <f t="shared" si="4"/>
        <v>927.7593800000001</v>
      </c>
      <c r="H42" s="271">
        <f t="shared" si="4"/>
        <v>0</v>
      </c>
      <c r="I42" s="271">
        <f t="shared" si="4"/>
        <v>0</v>
      </c>
      <c r="J42" s="271">
        <f t="shared" si="4"/>
        <v>0</v>
      </c>
      <c r="K42" s="271">
        <f t="shared" si="4"/>
        <v>0</v>
      </c>
      <c r="L42" s="271">
        <f t="shared" si="4"/>
        <v>0</v>
      </c>
      <c r="M42" s="271">
        <f t="shared" si="4"/>
        <v>0</v>
      </c>
      <c r="N42" s="271">
        <f t="shared" si="4"/>
        <v>0</v>
      </c>
      <c r="O42" s="271">
        <f t="shared" si="4"/>
        <v>0</v>
      </c>
      <c r="P42" s="271">
        <f t="shared" si="4"/>
        <v>0</v>
      </c>
      <c r="Q42" s="231">
        <f>Q43+Q46</f>
        <v>0</v>
      </c>
      <c r="R42" s="231">
        <f>R43+R46</f>
        <v>0</v>
      </c>
      <c r="T42" s="250">
        <f>C42-C58</f>
        <v>-1395.1498800000027</v>
      </c>
    </row>
    <row r="43" spans="1:20" s="233" customFormat="1" ht="67.5" customHeight="1">
      <c r="A43" s="736" t="s">
        <v>125</v>
      </c>
      <c r="B43" s="737"/>
      <c r="C43" s="740">
        <f>SUM(C44:D45)</f>
        <v>11738.791669999999</v>
      </c>
      <c r="D43" s="741"/>
      <c r="E43" s="347">
        <f>SUM(E44:E45)</f>
        <v>825.6299999999999</v>
      </c>
      <c r="F43" s="347">
        <f aca="true" t="shared" si="5" ref="F43:M43">SUM(F44:F45)</f>
        <v>778.888</v>
      </c>
      <c r="G43" s="347">
        <f t="shared" si="5"/>
        <v>927.7593800000001</v>
      </c>
      <c r="H43" s="347">
        <f t="shared" si="5"/>
        <v>0</v>
      </c>
      <c r="I43" s="347">
        <f t="shared" si="5"/>
        <v>0</v>
      </c>
      <c r="J43" s="347">
        <f t="shared" si="5"/>
        <v>0</v>
      </c>
      <c r="K43" s="347">
        <f t="shared" si="5"/>
        <v>0</v>
      </c>
      <c r="L43" s="347">
        <f t="shared" si="5"/>
        <v>0</v>
      </c>
      <c r="M43" s="347">
        <f t="shared" si="5"/>
        <v>0</v>
      </c>
      <c r="N43" s="347">
        <f>SUM(N44:N45)</f>
        <v>0</v>
      </c>
      <c r="O43" s="347">
        <f>SUM(O44:O45)</f>
        <v>0</v>
      </c>
      <c r="P43" s="347">
        <f>SUM(P44:P45)</f>
        <v>0</v>
      </c>
      <c r="Q43" s="232"/>
      <c r="T43" s="250">
        <f aca="true" t="shared" si="6" ref="T43:T56">C43-C59</f>
        <v>-1352.9798800000026</v>
      </c>
    </row>
    <row r="44" spans="1:20" ht="15.75" customHeight="1">
      <c r="A44" s="734" t="s">
        <v>116</v>
      </c>
      <c r="B44" s="735"/>
      <c r="C44" s="731">
        <f>SUM(E44:P44)+'отчет 1433-2'!C44:D44</f>
        <v>5544.47607</v>
      </c>
      <c r="D44" s="732"/>
      <c r="E44" s="234">
        <f>'вспомогательная таблица'!L29/1000</f>
        <v>522.079</v>
      </c>
      <c r="F44" s="234">
        <f>'вспомогательная таблица'!M29/1000</f>
        <v>596.662</v>
      </c>
      <c r="G44" s="234">
        <f>'вспомогательная таблица'!N29/1000</f>
        <v>750.08738</v>
      </c>
      <c r="H44" s="234"/>
      <c r="I44" s="234"/>
      <c r="J44" s="234"/>
      <c r="K44" s="234"/>
      <c r="L44" s="234"/>
      <c r="M44" s="234"/>
      <c r="N44" s="235"/>
      <c r="O44" s="235"/>
      <c r="P44" s="235"/>
      <c r="T44" s="250">
        <f t="shared" si="6"/>
        <v>-709.183860000001</v>
      </c>
    </row>
    <row r="45" spans="1:20" ht="15" customHeight="1">
      <c r="A45" s="734" t="s">
        <v>126</v>
      </c>
      <c r="B45" s="735"/>
      <c r="C45" s="731">
        <f>SUM(E45:P45)+'отчет 1433-2'!C45:D45</f>
        <v>6194.3156</v>
      </c>
      <c r="D45" s="732"/>
      <c r="E45" s="234">
        <f>'вспомогательная таблица'!L33/1000</f>
        <v>303.551</v>
      </c>
      <c r="F45" s="234">
        <f>'вспомогательная таблица'!M33/1000</f>
        <v>182.226</v>
      </c>
      <c r="G45" s="234">
        <f>'вспомогательная таблица'!N33/1000</f>
        <v>177.672</v>
      </c>
      <c r="H45" s="234"/>
      <c r="I45" s="234"/>
      <c r="J45" s="234"/>
      <c r="K45" s="234"/>
      <c r="L45" s="234"/>
      <c r="M45" s="234"/>
      <c r="N45" s="236"/>
      <c r="O45" s="236"/>
      <c r="P45" s="236"/>
      <c r="T45" s="250">
        <f t="shared" si="6"/>
        <v>-643.7960199999998</v>
      </c>
    </row>
    <row r="46" spans="1:20" s="233" customFormat="1" ht="68.25" customHeight="1">
      <c r="A46" s="736" t="s">
        <v>127</v>
      </c>
      <c r="B46" s="737"/>
      <c r="C46" s="740">
        <f>C47</f>
        <v>269.671</v>
      </c>
      <c r="D46" s="741"/>
      <c r="E46" s="347">
        <f aca="true" t="shared" si="7" ref="E46:P46">E47</f>
        <v>61.587</v>
      </c>
      <c r="F46" s="347">
        <f t="shared" si="7"/>
        <v>0</v>
      </c>
      <c r="G46" s="347">
        <f t="shared" si="7"/>
        <v>0</v>
      </c>
      <c r="H46" s="347">
        <f t="shared" si="7"/>
        <v>0</v>
      </c>
      <c r="I46" s="347">
        <f t="shared" si="7"/>
        <v>0</v>
      </c>
      <c r="J46" s="347">
        <f t="shared" si="7"/>
        <v>0</v>
      </c>
      <c r="K46" s="347">
        <f t="shared" si="7"/>
        <v>0</v>
      </c>
      <c r="L46" s="347">
        <f t="shared" si="7"/>
        <v>0</v>
      </c>
      <c r="M46" s="347">
        <f t="shared" si="7"/>
        <v>0</v>
      </c>
      <c r="N46" s="347">
        <f t="shared" si="7"/>
        <v>0</v>
      </c>
      <c r="O46" s="347">
        <f t="shared" si="7"/>
        <v>0</v>
      </c>
      <c r="P46" s="347">
        <f t="shared" si="7"/>
        <v>0</v>
      </c>
      <c r="Q46" s="232"/>
      <c r="T46" s="250">
        <f t="shared" si="6"/>
        <v>-42.170000000000016</v>
      </c>
    </row>
    <row r="47" spans="1:20" ht="15" customHeight="1">
      <c r="A47" s="734" t="s">
        <v>118</v>
      </c>
      <c r="B47" s="735"/>
      <c r="C47" s="731">
        <f>SUM(E47:P47)+'отчет 1433-2'!C47:D47</f>
        <v>269.671</v>
      </c>
      <c r="D47" s="732"/>
      <c r="E47" s="234">
        <f>'вспомогательная таблица'!L34/1000</f>
        <v>61.587</v>
      </c>
      <c r="F47" s="234">
        <f>'вспомогательная таблица'!M34/1000</f>
        <v>0</v>
      </c>
      <c r="G47" s="234">
        <f>'вспомогательная таблица'!N34/1000</f>
        <v>0</v>
      </c>
      <c r="H47" s="234"/>
      <c r="I47" s="234"/>
      <c r="J47" s="234"/>
      <c r="K47" s="234"/>
      <c r="L47" s="234"/>
      <c r="M47" s="234"/>
      <c r="N47" s="239"/>
      <c r="O47" s="239"/>
      <c r="P47" s="239"/>
      <c r="T47" s="250">
        <f t="shared" si="6"/>
        <v>-42.170000000000016</v>
      </c>
    </row>
    <row r="48" spans="1:20" s="233" customFormat="1" ht="65.25" customHeight="1">
      <c r="A48" s="736" t="s">
        <v>128</v>
      </c>
      <c r="B48" s="737"/>
      <c r="C48" s="738">
        <f>SUM(C49:D56)</f>
        <v>94.873</v>
      </c>
      <c r="D48" s="739"/>
      <c r="E48" s="346">
        <f>SUM(E49:E56)</f>
        <v>0</v>
      </c>
      <c r="F48" s="346">
        <f>SUM(F49:F56)</f>
        <v>0</v>
      </c>
      <c r="G48" s="346">
        <f>SUM(E49:E56)</f>
        <v>0</v>
      </c>
      <c r="H48" s="346">
        <f aca="true" t="shared" si="8" ref="H48:P48">SUM(H49:H56)</f>
        <v>0</v>
      </c>
      <c r="I48" s="346">
        <f t="shared" si="8"/>
        <v>0</v>
      </c>
      <c r="J48" s="346">
        <f t="shared" si="8"/>
        <v>0</v>
      </c>
      <c r="K48" s="346">
        <f t="shared" si="8"/>
        <v>0</v>
      </c>
      <c r="L48" s="346">
        <f t="shared" si="8"/>
        <v>0</v>
      </c>
      <c r="M48" s="346">
        <f t="shared" si="8"/>
        <v>0</v>
      </c>
      <c r="N48" s="346">
        <f t="shared" si="8"/>
        <v>0</v>
      </c>
      <c r="O48" s="346">
        <f t="shared" si="8"/>
        <v>0</v>
      </c>
      <c r="P48" s="346">
        <f t="shared" si="8"/>
        <v>0</v>
      </c>
      <c r="Q48" s="232"/>
      <c r="T48" s="250">
        <f t="shared" si="6"/>
        <v>-79.8137</v>
      </c>
    </row>
    <row r="49" spans="1:20" ht="27" customHeight="1">
      <c r="A49" s="734" t="s">
        <v>129</v>
      </c>
      <c r="B49" s="735"/>
      <c r="C49" s="731">
        <f aca="true" t="shared" si="9" ref="C49:C55">SUM(E49:P49)</f>
        <v>0</v>
      </c>
      <c r="D49" s="732"/>
      <c r="E49" s="234"/>
      <c r="F49" s="234"/>
      <c r="G49" s="234"/>
      <c r="H49" s="234"/>
      <c r="I49" s="234"/>
      <c r="J49" s="234"/>
      <c r="K49" s="234"/>
      <c r="L49" s="234"/>
      <c r="M49" s="234"/>
      <c r="N49" s="239"/>
      <c r="O49" s="239"/>
      <c r="P49" s="239"/>
      <c r="T49" s="250">
        <f t="shared" si="6"/>
        <v>0</v>
      </c>
    </row>
    <row r="50" spans="1:20" ht="27.75" customHeight="1">
      <c r="A50" s="734" t="s">
        <v>42</v>
      </c>
      <c r="B50" s="735"/>
      <c r="C50" s="731">
        <f t="shared" si="9"/>
        <v>0</v>
      </c>
      <c r="D50" s="732"/>
      <c r="E50" s="234"/>
      <c r="F50" s="234"/>
      <c r="G50" s="234"/>
      <c r="H50" s="234"/>
      <c r="I50" s="234"/>
      <c r="J50" s="234"/>
      <c r="K50" s="234"/>
      <c r="L50" s="234"/>
      <c r="M50" s="234"/>
      <c r="N50" s="239"/>
      <c r="O50" s="239"/>
      <c r="P50" s="239"/>
      <c r="T50" s="250">
        <f t="shared" si="6"/>
        <v>0</v>
      </c>
    </row>
    <row r="51" spans="1:20" ht="26.25" customHeight="1">
      <c r="A51" s="734" t="s">
        <v>43</v>
      </c>
      <c r="B51" s="735"/>
      <c r="C51" s="731">
        <f t="shared" si="9"/>
        <v>0</v>
      </c>
      <c r="D51" s="732"/>
      <c r="E51" s="234"/>
      <c r="F51" s="234"/>
      <c r="G51" s="234"/>
      <c r="H51" s="234"/>
      <c r="I51" s="234"/>
      <c r="J51" s="234"/>
      <c r="K51" s="234"/>
      <c r="L51" s="234"/>
      <c r="M51" s="234"/>
      <c r="N51" s="239"/>
      <c r="O51" s="239"/>
      <c r="P51" s="239"/>
      <c r="T51" s="250">
        <f t="shared" si="6"/>
        <v>0</v>
      </c>
    </row>
    <row r="52" spans="1:20" ht="52.5" customHeight="1">
      <c r="A52" s="734" t="s">
        <v>44</v>
      </c>
      <c r="B52" s="735"/>
      <c r="C52" s="731">
        <f>SUM(E52:P52)</f>
        <v>0</v>
      </c>
      <c r="D52" s="732"/>
      <c r="E52" s="234"/>
      <c r="F52" s="234"/>
      <c r="G52" s="234"/>
      <c r="H52" s="234"/>
      <c r="I52" s="234"/>
      <c r="J52" s="234"/>
      <c r="K52" s="234"/>
      <c r="L52" s="234"/>
      <c r="M52" s="234"/>
      <c r="N52" s="239"/>
      <c r="O52" s="239"/>
      <c r="P52" s="239"/>
      <c r="T52" s="250">
        <f t="shared" si="6"/>
        <v>0</v>
      </c>
    </row>
    <row r="53" spans="1:20" ht="30" customHeight="1">
      <c r="A53" s="734" t="s">
        <v>130</v>
      </c>
      <c r="B53" s="735"/>
      <c r="C53" s="731">
        <f t="shared" si="9"/>
        <v>0</v>
      </c>
      <c r="D53" s="732"/>
      <c r="E53" s="234"/>
      <c r="F53" s="234"/>
      <c r="G53" s="234"/>
      <c r="H53" s="234"/>
      <c r="I53" s="234"/>
      <c r="J53" s="234"/>
      <c r="K53" s="234"/>
      <c r="L53" s="234"/>
      <c r="M53" s="234"/>
      <c r="N53" s="239"/>
      <c r="O53" s="239"/>
      <c r="P53" s="239"/>
      <c r="T53" s="250">
        <f t="shared" si="6"/>
        <v>0</v>
      </c>
    </row>
    <row r="54" spans="1:20" ht="15" customHeight="1">
      <c r="A54" s="734" t="s">
        <v>45</v>
      </c>
      <c r="B54" s="735"/>
      <c r="C54" s="731">
        <f t="shared" si="9"/>
        <v>0</v>
      </c>
      <c r="D54" s="732"/>
      <c r="E54" s="234">
        <f>'мун.задание'!D145/1000</f>
        <v>0</v>
      </c>
      <c r="F54" s="234">
        <f>'мун.задание'!E145/1000</f>
        <v>0</v>
      </c>
      <c r="G54" s="234">
        <f>'мун.задание'!F145/1000</f>
        <v>0</v>
      </c>
      <c r="H54" s="234"/>
      <c r="I54" s="234"/>
      <c r="J54" s="234"/>
      <c r="K54" s="234"/>
      <c r="L54" s="234"/>
      <c r="M54" s="234"/>
      <c r="N54" s="239"/>
      <c r="O54" s="239"/>
      <c r="P54" s="239"/>
      <c r="T54" s="250">
        <f t="shared" si="6"/>
        <v>0</v>
      </c>
    </row>
    <row r="55" spans="1:20" ht="27.75" customHeight="1">
      <c r="A55" s="734" t="s">
        <v>46</v>
      </c>
      <c r="B55" s="735"/>
      <c r="C55" s="731">
        <f t="shared" si="9"/>
        <v>0</v>
      </c>
      <c r="D55" s="732"/>
      <c r="E55" s="234"/>
      <c r="F55" s="234"/>
      <c r="G55" s="234"/>
      <c r="H55" s="234"/>
      <c r="I55" s="234"/>
      <c r="J55" s="234"/>
      <c r="K55" s="234"/>
      <c r="L55" s="234"/>
      <c r="M55" s="234"/>
      <c r="N55" s="239"/>
      <c r="O55" s="239"/>
      <c r="P55" s="239"/>
      <c r="T55" s="250">
        <f t="shared" si="6"/>
        <v>0</v>
      </c>
    </row>
    <row r="56" spans="1:20" ht="30.75" customHeight="1">
      <c r="A56" s="734" t="s">
        <v>47</v>
      </c>
      <c r="B56" s="735"/>
      <c r="C56" s="731">
        <f>SUM(E56:P56)+'отчет 1433-2'!C56:D56</f>
        <v>94.873</v>
      </c>
      <c r="D56" s="732"/>
      <c r="E56" s="234">
        <f>'мун.задание'!G148/1000</f>
        <v>0</v>
      </c>
      <c r="F56" s="234">
        <f>'мун.задание'!E148/1000</f>
        <v>0</v>
      </c>
      <c r="G56" s="234">
        <f>'мун.задание'!F148/1000</f>
        <v>0</v>
      </c>
      <c r="H56" s="234"/>
      <c r="I56" s="234"/>
      <c r="J56" s="234"/>
      <c r="K56" s="234"/>
      <c r="L56" s="234"/>
      <c r="M56" s="234"/>
      <c r="N56" s="239"/>
      <c r="O56" s="239"/>
      <c r="P56" s="239"/>
      <c r="T56" s="250">
        <f t="shared" si="6"/>
        <v>-79.8137</v>
      </c>
    </row>
    <row r="57" spans="1:20" ht="21.75" customHeight="1">
      <c r="A57" s="590" t="s">
        <v>119</v>
      </c>
      <c r="B57" s="742"/>
      <c r="C57" s="742"/>
      <c r="D57" s="742"/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591"/>
      <c r="T57" s="237"/>
    </row>
    <row r="58" spans="1:20" s="241" customFormat="1" ht="54.75" customHeight="1">
      <c r="A58" s="743" t="s">
        <v>124</v>
      </c>
      <c r="B58" s="744"/>
      <c r="C58" s="745">
        <f>C59+C62</f>
        <v>13403.612550000002</v>
      </c>
      <c r="D58" s="746"/>
      <c r="E58" s="271">
        <f aca="true" t="shared" si="10" ref="E58:P58">E59+E62</f>
        <v>1667.90546</v>
      </c>
      <c r="F58" s="271">
        <f t="shared" si="10"/>
        <v>1133.81587</v>
      </c>
      <c r="G58" s="271">
        <f t="shared" si="10"/>
        <v>1223.1245800000002</v>
      </c>
      <c r="H58" s="271">
        <f t="shared" si="10"/>
        <v>0</v>
      </c>
      <c r="I58" s="271">
        <f t="shared" si="10"/>
        <v>0</v>
      </c>
      <c r="J58" s="271">
        <f t="shared" si="10"/>
        <v>0</v>
      </c>
      <c r="K58" s="271">
        <f t="shared" si="10"/>
        <v>0</v>
      </c>
      <c r="L58" s="271">
        <f t="shared" si="10"/>
        <v>0</v>
      </c>
      <c r="M58" s="271">
        <f t="shared" si="10"/>
        <v>0</v>
      </c>
      <c r="N58" s="271">
        <f t="shared" si="10"/>
        <v>0</v>
      </c>
      <c r="O58" s="271">
        <f t="shared" si="10"/>
        <v>0</v>
      </c>
      <c r="P58" s="271">
        <f t="shared" si="10"/>
        <v>0</v>
      </c>
      <c r="Q58" s="240"/>
      <c r="T58" s="242"/>
    </row>
    <row r="59" spans="1:20" ht="51.75" customHeight="1">
      <c r="A59" s="736" t="s">
        <v>125</v>
      </c>
      <c r="B59" s="737"/>
      <c r="C59" s="740">
        <f>SUM(C60:D61)</f>
        <v>13091.771550000001</v>
      </c>
      <c r="D59" s="741"/>
      <c r="E59" s="347">
        <f aca="true" t="shared" si="11" ref="E59:P59">SUM(E60:E61)</f>
        <v>1564.02946</v>
      </c>
      <c r="F59" s="347">
        <f t="shared" si="11"/>
        <v>1133.81587</v>
      </c>
      <c r="G59" s="347">
        <f t="shared" si="11"/>
        <v>1223.1245800000002</v>
      </c>
      <c r="H59" s="347">
        <f t="shared" si="11"/>
        <v>0</v>
      </c>
      <c r="I59" s="347">
        <f t="shared" si="11"/>
        <v>0</v>
      </c>
      <c r="J59" s="347">
        <f t="shared" si="11"/>
        <v>0</v>
      </c>
      <c r="K59" s="347">
        <f t="shared" si="11"/>
        <v>0</v>
      </c>
      <c r="L59" s="347">
        <f t="shared" si="11"/>
        <v>0</v>
      </c>
      <c r="M59" s="347">
        <f t="shared" si="11"/>
        <v>0</v>
      </c>
      <c r="N59" s="347">
        <f t="shared" si="11"/>
        <v>0</v>
      </c>
      <c r="O59" s="347">
        <f t="shared" si="11"/>
        <v>0</v>
      </c>
      <c r="P59" s="347">
        <f t="shared" si="11"/>
        <v>0</v>
      </c>
      <c r="T59" s="237"/>
    </row>
    <row r="60" spans="1:20" ht="12.75">
      <c r="A60" s="734" t="s">
        <v>116</v>
      </c>
      <c r="B60" s="735"/>
      <c r="C60" s="731">
        <f>SUM(E60:P60)+'отчет 1433-2'!C60:D60</f>
        <v>6253.659930000001</v>
      </c>
      <c r="D60" s="732"/>
      <c r="E60" s="234">
        <f>касса!K17/1000</f>
        <v>454.05</v>
      </c>
      <c r="F60" s="234">
        <f>касса!L17/1000</f>
        <v>311.494</v>
      </c>
      <c r="G60" s="234">
        <f>касса!M17/1000</f>
        <v>462.84953</v>
      </c>
      <c r="H60" s="234"/>
      <c r="I60" s="234"/>
      <c r="J60" s="234"/>
      <c r="K60" s="234"/>
      <c r="L60" s="234"/>
      <c r="M60" s="234"/>
      <c r="N60" s="235"/>
      <c r="O60" s="235"/>
      <c r="P60" s="235"/>
      <c r="T60" s="237"/>
    </row>
    <row r="61" spans="1:20" ht="12.75">
      <c r="A61" s="734" t="s">
        <v>126</v>
      </c>
      <c r="B61" s="735"/>
      <c r="C61" s="731">
        <f>SUM(E61:P61)+'отчет 1433-2'!C61:D61</f>
        <v>6838.11162</v>
      </c>
      <c r="D61" s="732"/>
      <c r="E61" s="234">
        <f>касса!K18/1000</f>
        <v>1109.97946</v>
      </c>
      <c r="F61" s="234">
        <f>касса!L18/1000</f>
        <v>822.32187</v>
      </c>
      <c r="G61" s="234">
        <f>касса!M18/1000</f>
        <v>760.2750500000001</v>
      </c>
      <c r="H61" s="234"/>
      <c r="I61" s="234"/>
      <c r="J61" s="234"/>
      <c r="K61" s="234"/>
      <c r="L61" s="234"/>
      <c r="M61" s="234"/>
      <c r="N61" s="236"/>
      <c r="O61" s="236"/>
      <c r="P61" s="236"/>
      <c r="T61" s="237"/>
    </row>
    <row r="62" spans="1:21" ht="54" customHeight="1">
      <c r="A62" s="736" t="s">
        <v>127</v>
      </c>
      <c r="B62" s="737"/>
      <c r="C62" s="740">
        <f>C63</f>
        <v>311.841</v>
      </c>
      <c r="D62" s="741"/>
      <c r="E62" s="347">
        <f aca="true" t="shared" si="12" ref="E62:P62">E63</f>
        <v>103.876</v>
      </c>
      <c r="F62" s="347">
        <f t="shared" si="12"/>
        <v>0</v>
      </c>
      <c r="G62" s="347">
        <f t="shared" si="12"/>
        <v>0</v>
      </c>
      <c r="H62" s="347">
        <f t="shared" si="12"/>
        <v>0</v>
      </c>
      <c r="I62" s="347">
        <f t="shared" si="12"/>
        <v>0</v>
      </c>
      <c r="J62" s="347">
        <f t="shared" si="12"/>
        <v>0</v>
      </c>
      <c r="K62" s="347">
        <f t="shared" si="12"/>
        <v>0</v>
      </c>
      <c r="L62" s="347">
        <f t="shared" si="12"/>
        <v>0</v>
      </c>
      <c r="M62" s="347">
        <f t="shared" si="12"/>
        <v>0</v>
      </c>
      <c r="N62" s="347">
        <f t="shared" si="12"/>
        <v>0</v>
      </c>
      <c r="O62" s="347">
        <f t="shared" si="12"/>
        <v>0</v>
      </c>
      <c r="P62" s="347">
        <f t="shared" si="12"/>
        <v>0</v>
      </c>
      <c r="T62" s="237"/>
      <c r="U62" s="237"/>
    </row>
    <row r="63" spans="1:21" ht="16.5" customHeight="1">
      <c r="A63" s="734" t="s">
        <v>118</v>
      </c>
      <c r="B63" s="735"/>
      <c r="C63" s="731">
        <f>SUM(E63:P63)+'отчет 1433-2'!C63:D63</f>
        <v>311.841</v>
      </c>
      <c r="D63" s="732"/>
      <c r="E63" s="234">
        <f>касса!K19/1000</f>
        <v>103.876</v>
      </c>
      <c r="F63" s="234">
        <f>касса!L19/1000</f>
        <v>0</v>
      </c>
      <c r="G63" s="234">
        <f>касса!M19/1000</f>
        <v>0</v>
      </c>
      <c r="H63" s="234"/>
      <c r="I63" s="234"/>
      <c r="J63" s="234"/>
      <c r="K63" s="234"/>
      <c r="L63" s="234"/>
      <c r="M63" s="234"/>
      <c r="N63" s="234"/>
      <c r="O63" s="234"/>
      <c r="P63" s="234"/>
      <c r="T63" s="237"/>
      <c r="U63" s="237"/>
    </row>
    <row r="64" spans="1:19" ht="53.25" customHeight="1">
      <c r="A64" s="736" t="s">
        <v>128</v>
      </c>
      <c r="B64" s="737"/>
      <c r="C64" s="738">
        <f>SUM(C65:D72)</f>
        <v>174.6867</v>
      </c>
      <c r="D64" s="739"/>
      <c r="E64" s="346">
        <f aca="true" t="shared" si="13" ref="E64:P64">SUM(E65:E72)</f>
        <v>0</v>
      </c>
      <c r="F64" s="346">
        <f t="shared" si="13"/>
        <v>36.0249</v>
      </c>
      <c r="G64" s="346">
        <f t="shared" si="13"/>
        <v>53.3988</v>
      </c>
      <c r="H64" s="346">
        <f t="shared" si="13"/>
        <v>0</v>
      </c>
      <c r="I64" s="346">
        <f t="shared" si="13"/>
        <v>0</v>
      </c>
      <c r="J64" s="346">
        <f t="shared" si="13"/>
        <v>0</v>
      </c>
      <c r="K64" s="346">
        <f t="shared" si="13"/>
        <v>0</v>
      </c>
      <c r="L64" s="346">
        <f t="shared" si="13"/>
        <v>0</v>
      </c>
      <c r="M64" s="346">
        <f t="shared" si="13"/>
        <v>0</v>
      </c>
      <c r="N64" s="346">
        <f t="shared" si="13"/>
        <v>0</v>
      </c>
      <c r="O64" s="346">
        <f t="shared" si="13"/>
        <v>0</v>
      </c>
      <c r="P64" s="346">
        <f t="shared" si="13"/>
        <v>0</v>
      </c>
      <c r="Q64" s="211"/>
      <c r="R64" s="237"/>
      <c r="S64" s="237"/>
    </row>
    <row r="65" spans="1:21" ht="28.5" customHeight="1">
      <c r="A65" s="734" t="s">
        <v>129</v>
      </c>
      <c r="B65" s="735"/>
      <c r="C65" s="731">
        <f aca="true" t="shared" si="14" ref="C65:C71">SUM(E65:P65)</f>
        <v>0</v>
      </c>
      <c r="D65" s="732"/>
      <c r="E65" s="234"/>
      <c r="F65" s="234"/>
      <c r="G65" s="234"/>
      <c r="H65" s="234"/>
      <c r="I65" s="234"/>
      <c r="J65" s="234"/>
      <c r="K65" s="234"/>
      <c r="L65" s="234"/>
      <c r="M65" s="234"/>
      <c r="N65" s="239"/>
      <c r="O65" s="239"/>
      <c r="P65" s="239"/>
      <c r="T65" s="237"/>
      <c r="U65" s="237"/>
    </row>
    <row r="66" spans="1:21" ht="15.75" customHeight="1">
      <c r="A66" s="734" t="s">
        <v>42</v>
      </c>
      <c r="B66" s="735"/>
      <c r="C66" s="731">
        <f t="shared" si="14"/>
        <v>0</v>
      </c>
      <c r="D66" s="732"/>
      <c r="E66" s="234"/>
      <c r="F66" s="234"/>
      <c r="G66" s="234"/>
      <c r="H66" s="234"/>
      <c r="I66" s="234"/>
      <c r="J66" s="234"/>
      <c r="K66" s="234"/>
      <c r="L66" s="234"/>
      <c r="M66" s="234"/>
      <c r="N66" s="239"/>
      <c r="O66" s="239"/>
      <c r="P66" s="239"/>
      <c r="T66" s="237"/>
      <c r="U66" s="237"/>
    </row>
    <row r="67" spans="1:21" ht="27.75" customHeight="1">
      <c r="A67" s="734" t="s">
        <v>43</v>
      </c>
      <c r="B67" s="735"/>
      <c r="C67" s="731">
        <f t="shared" si="14"/>
        <v>0</v>
      </c>
      <c r="D67" s="732"/>
      <c r="E67" s="234"/>
      <c r="F67" s="234"/>
      <c r="G67" s="234"/>
      <c r="H67" s="234"/>
      <c r="I67" s="234"/>
      <c r="J67" s="234"/>
      <c r="K67" s="234"/>
      <c r="L67" s="234"/>
      <c r="M67" s="234"/>
      <c r="N67" s="239"/>
      <c r="O67" s="239"/>
      <c r="P67" s="239"/>
      <c r="T67" s="237"/>
      <c r="U67" s="237"/>
    </row>
    <row r="68" spans="1:21" ht="27.75" customHeight="1">
      <c r="A68" s="734" t="s">
        <v>44</v>
      </c>
      <c r="B68" s="735"/>
      <c r="C68" s="731">
        <f t="shared" si="14"/>
        <v>0</v>
      </c>
      <c r="D68" s="732"/>
      <c r="E68" s="234"/>
      <c r="F68" s="234"/>
      <c r="G68" s="234"/>
      <c r="H68" s="234"/>
      <c r="I68" s="234"/>
      <c r="J68" s="234"/>
      <c r="K68" s="234"/>
      <c r="L68" s="234"/>
      <c r="M68" s="234"/>
      <c r="N68" s="239"/>
      <c r="O68" s="239"/>
      <c r="P68" s="239"/>
      <c r="T68" s="237"/>
      <c r="U68" s="237"/>
    </row>
    <row r="69" spans="1:21" ht="27" customHeight="1">
      <c r="A69" s="734" t="s">
        <v>130</v>
      </c>
      <c r="B69" s="735"/>
      <c r="C69" s="731">
        <f t="shared" si="14"/>
        <v>0</v>
      </c>
      <c r="D69" s="732"/>
      <c r="E69" s="234"/>
      <c r="F69" s="234"/>
      <c r="G69" s="234"/>
      <c r="H69" s="234"/>
      <c r="I69" s="234"/>
      <c r="J69" s="234"/>
      <c r="K69" s="234"/>
      <c r="L69" s="234"/>
      <c r="M69" s="234"/>
      <c r="N69" s="239"/>
      <c r="O69" s="239"/>
      <c r="P69" s="239"/>
      <c r="T69" s="237"/>
      <c r="U69" s="237"/>
    </row>
    <row r="70" spans="1:21" ht="37.5" customHeight="1">
      <c r="A70" s="734" t="s">
        <v>45</v>
      </c>
      <c r="B70" s="735"/>
      <c r="C70" s="731">
        <f t="shared" si="14"/>
        <v>0</v>
      </c>
      <c r="D70" s="732"/>
      <c r="E70" s="234"/>
      <c r="F70" s="234"/>
      <c r="G70" s="234"/>
      <c r="H70" s="234"/>
      <c r="I70" s="234"/>
      <c r="J70" s="234"/>
      <c r="K70" s="234"/>
      <c r="L70" s="234"/>
      <c r="M70" s="234"/>
      <c r="N70" s="239"/>
      <c r="O70" s="239"/>
      <c r="P70" s="239"/>
      <c r="T70" s="237"/>
      <c r="U70" s="237"/>
    </row>
    <row r="71" spans="1:21" ht="27.75" customHeight="1">
      <c r="A71" s="734" t="s">
        <v>46</v>
      </c>
      <c r="B71" s="735"/>
      <c r="C71" s="731">
        <f t="shared" si="14"/>
        <v>0</v>
      </c>
      <c r="D71" s="732"/>
      <c r="E71" s="234"/>
      <c r="F71" s="234"/>
      <c r="G71" s="234"/>
      <c r="H71" s="234"/>
      <c r="I71" s="234"/>
      <c r="J71" s="234"/>
      <c r="K71" s="234"/>
      <c r="L71" s="234"/>
      <c r="M71" s="234"/>
      <c r="N71" s="239"/>
      <c r="O71" s="239"/>
      <c r="P71" s="239"/>
      <c r="T71" s="237"/>
      <c r="U71" s="237"/>
    </row>
    <row r="72" spans="1:21" ht="27.75" customHeight="1">
      <c r="A72" s="734" t="s">
        <v>47</v>
      </c>
      <c r="B72" s="735"/>
      <c r="C72" s="731">
        <f>SUM(E72:P72)+'отчет 1433-2'!C72:D72</f>
        <v>174.6867</v>
      </c>
      <c r="D72" s="732"/>
      <c r="E72" s="234"/>
      <c r="F72" s="234">
        <v>36.0249</v>
      </c>
      <c r="G72" s="234">
        <v>53.3988</v>
      </c>
      <c r="H72" s="234"/>
      <c r="I72" s="234"/>
      <c r="J72" s="234"/>
      <c r="K72" s="234"/>
      <c r="L72" s="234"/>
      <c r="M72" s="234"/>
      <c r="N72" s="239"/>
      <c r="O72" s="239"/>
      <c r="P72" s="239"/>
      <c r="T72" s="237"/>
      <c r="U72" s="237"/>
    </row>
    <row r="74" spans="14:16" ht="12.75">
      <c r="N74" s="237"/>
      <c r="O74" s="237"/>
      <c r="P74" s="237"/>
    </row>
    <row r="75" spans="1:17" s="223" customFormat="1" ht="15">
      <c r="A75" s="223" t="s">
        <v>131</v>
      </c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P75" s="243"/>
      <c r="Q75" s="224"/>
    </row>
    <row r="76" spans="4:17" s="223" customFormat="1" ht="15" hidden="1"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P76" s="243"/>
      <c r="Q76" s="224"/>
    </row>
    <row r="77" spans="1:17" s="223" customFormat="1" ht="15">
      <c r="A77" s="223" t="s">
        <v>132</v>
      </c>
      <c r="P77" s="243"/>
      <c r="Q77" s="224"/>
    </row>
    <row r="78" spans="14:17" s="214" customFormat="1" ht="15">
      <c r="N78" s="244"/>
      <c r="Q78" s="217"/>
    </row>
    <row r="79" spans="1:9" s="214" customFormat="1" ht="15" customHeight="1">
      <c r="A79" s="726" t="s">
        <v>133</v>
      </c>
      <c r="B79" s="726" t="s">
        <v>102</v>
      </c>
      <c r="C79" s="727" t="s">
        <v>134</v>
      </c>
      <c r="D79" s="728"/>
      <c r="E79" s="245"/>
      <c r="F79" s="717" t="s">
        <v>135</v>
      </c>
      <c r="G79" s="718"/>
      <c r="I79" s="217"/>
    </row>
    <row r="80" spans="1:9" s="214" customFormat="1" ht="15" customHeight="1">
      <c r="A80" s="726"/>
      <c r="B80" s="726"/>
      <c r="C80" s="729"/>
      <c r="D80" s="730"/>
      <c r="E80" s="246"/>
      <c r="F80" s="719"/>
      <c r="G80" s="720"/>
      <c r="I80" s="217"/>
    </row>
    <row r="81" spans="1:9" s="214" customFormat="1" ht="24.75" customHeight="1">
      <c r="A81" s="247"/>
      <c r="B81" s="248"/>
      <c r="C81" s="590"/>
      <c r="D81" s="591"/>
      <c r="E81" s="228" t="s">
        <v>136</v>
      </c>
      <c r="F81" s="715" t="s">
        <v>136</v>
      </c>
      <c r="G81" s="716"/>
      <c r="I81" s="217"/>
    </row>
    <row r="82" spans="1:9" s="214" customFormat="1" ht="25.5" customHeight="1">
      <c r="A82" s="247"/>
      <c r="B82" s="248"/>
      <c r="C82" s="590"/>
      <c r="D82" s="591"/>
      <c r="E82" s="228"/>
      <c r="F82" s="715"/>
      <c r="G82" s="716"/>
      <c r="I82" s="217"/>
    </row>
    <row r="83" spans="1:9" s="214" customFormat="1" ht="26.25" customHeight="1">
      <c r="A83" s="247"/>
      <c r="B83" s="248"/>
      <c r="C83" s="590"/>
      <c r="D83" s="591"/>
      <c r="E83" s="228"/>
      <c r="F83" s="715"/>
      <c r="G83" s="716"/>
      <c r="I83" s="217"/>
    </row>
    <row r="84" spans="6:17" ht="15">
      <c r="F84" s="249"/>
      <c r="I84" s="213"/>
      <c r="Q84" s="211"/>
    </row>
    <row r="85" spans="6:17" ht="15">
      <c r="F85" s="249"/>
      <c r="I85" s="213"/>
      <c r="Q85" s="211"/>
    </row>
    <row r="86" spans="1:9" s="223" customFormat="1" ht="15">
      <c r="A86" s="223" t="s">
        <v>137</v>
      </c>
      <c r="F86" s="244"/>
      <c r="I86" s="224"/>
    </row>
    <row r="87" spans="6:17" ht="15">
      <c r="F87" s="249"/>
      <c r="I87" s="213"/>
      <c r="Q87" s="211"/>
    </row>
    <row r="88" spans="1:17" ht="12.75" customHeight="1">
      <c r="A88" s="726" t="s">
        <v>133</v>
      </c>
      <c r="B88" s="726" t="s">
        <v>102</v>
      </c>
      <c r="C88" s="727" t="s">
        <v>138</v>
      </c>
      <c r="D88" s="728"/>
      <c r="E88" s="245"/>
      <c r="F88" s="717" t="s">
        <v>139</v>
      </c>
      <c r="G88" s="718"/>
      <c r="I88" s="213"/>
      <c r="Q88" s="211"/>
    </row>
    <row r="89" spans="1:17" ht="12.75">
      <c r="A89" s="726"/>
      <c r="B89" s="726"/>
      <c r="C89" s="729"/>
      <c r="D89" s="730"/>
      <c r="E89" s="246"/>
      <c r="F89" s="719"/>
      <c r="G89" s="720"/>
      <c r="I89" s="213"/>
      <c r="Q89" s="211"/>
    </row>
    <row r="90" spans="1:17" ht="24.75" customHeight="1">
      <c r="A90" s="247"/>
      <c r="B90" s="248"/>
      <c r="C90" s="590"/>
      <c r="D90" s="591"/>
      <c r="E90" s="228" t="s">
        <v>136</v>
      </c>
      <c r="F90" s="715" t="s">
        <v>136</v>
      </c>
      <c r="G90" s="716"/>
      <c r="I90" s="213"/>
      <c r="Q90" s="211"/>
    </row>
    <row r="91" spans="1:17" ht="23.25" customHeight="1">
      <c r="A91" s="247"/>
      <c r="B91" s="248"/>
      <c r="C91" s="590"/>
      <c r="D91" s="591"/>
      <c r="E91" s="228"/>
      <c r="F91" s="715"/>
      <c r="G91" s="716"/>
      <c r="I91" s="213"/>
      <c r="Q91" s="211"/>
    </row>
    <row r="92" spans="1:17" ht="26.25" customHeight="1">
      <c r="A92" s="247"/>
      <c r="B92" s="248"/>
      <c r="C92" s="590"/>
      <c r="D92" s="591"/>
      <c r="E92" s="228"/>
      <c r="F92" s="715"/>
      <c r="G92" s="716"/>
      <c r="I92" s="213"/>
      <c r="Q92" s="211"/>
    </row>
    <row r="93" spans="4:14" ht="15"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49"/>
    </row>
    <row r="94" ht="15">
      <c r="N94" s="249"/>
    </row>
    <row r="95" spans="1:17" s="251" customFormat="1" ht="15">
      <c r="A95" s="223" t="s">
        <v>140</v>
      </c>
      <c r="B95" s="223"/>
      <c r="N95" s="249"/>
      <c r="Q95" s="252"/>
    </row>
    <row r="96" ht="15">
      <c r="N96" s="249"/>
    </row>
    <row r="97" spans="1:5" s="214" customFormat="1" ht="15" customHeight="1">
      <c r="A97" s="726" t="s">
        <v>133</v>
      </c>
      <c r="B97" s="726" t="s">
        <v>141</v>
      </c>
      <c r="C97" s="726" t="s">
        <v>52</v>
      </c>
      <c r="D97" s="726" t="s">
        <v>53</v>
      </c>
      <c r="E97" s="733" t="s">
        <v>142</v>
      </c>
    </row>
    <row r="98" spans="1:5" s="214" customFormat="1" ht="22.5" customHeight="1">
      <c r="A98" s="726"/>
      <c r="B98" s="726"/>
      <c r="C98" s="726"/>
      <c r="D98" s="726"/>
      <c r="E98" s="733"/>
    </row>
    <row r="99" spans="1:5" s="214" customFormat="1" ht="63.75">
      <c r="A99" s="247">
        <v>1</v>
      </c>
      <c r="B99" s="253" t="s">
        <v>60</v>
      </c>
      <c r="C99" s="254"/>
      <c r="D99" s="255" t="s">
        <v>143</v>
      </c>
      <c r="E99" s="255" t="s">
        <v>143</v>
      </c>
    </row>
    <row r="100" spans="1:17" ht="13.5" customHeight="1">
      <c r="A100" s="247">
        <v>2</v>
      </c>
      <c r="B100" s="256" t="s">
        <v>61</v>
      </c>
      <c r="C100" s="254"/>
      <c r="D100" s="227" t="s">
        <v>62</v>
      </c>
      <c r="E100" s="230" t="s">
        <v>136</v>
      </c>
      <c r="Q100" s="211"/>
    </row>
    <row r="101" spans="1:17" ht="38.25">
      <c r="A101" s="247">
        <v>3</v>
      </c>
      <c r="B101" s="256" t="s">
        <v>63</v>
      </c>
      <c r="C101" s="254"/>
      <c r="D101" s="227" t="s">
        <v>64</v>
      </c>
      <c r="E101" s="227" t="s">
        <v>64</v>
      </c>
      <c r="Q101" s="211"/>
    </row>
    <row r="102" spans="1:17" ht="39" customHeight="1">
      <c r="A102" s="247">
        <v>4</v>
      </c>
      <c r="B102" s="256" t="s">
        <v>63</v>
      </c>
      <c r="C102" s="254"/>
      <c r="D102" s="257" t="s">
        <v>65</v>
      </c>
      <c r="E102" s="257" t="s">
        <v>65</v>
      </c>
      <c r="Q102" s="211"/>
    </row>
    <row r="103" spans="1:17" ht="12.75">
      <c r="A103" s="258"/>
      <c r="B103" s="259"/>
      <c r="C103" s="260"/>
      <c r="D103" s="260"/>
      <c r="E103" s="260"/>
      <c r="F103" s="260"/>
      <c r="H103" s="260"/>
      <c r="K103" s="213"/>
      <c r="Q103" s="211"/>
    </row>
    <row r="104" spans="1:17" ht="12.75">
      <c r="A104" s="258"/>
      <c r="B104" s="259"/>
      <c r="C104" s="260"/>
      <c r="D104" s="260"/>
      <c r="E104" s="260"/>
      <c r="F104" s="260"/>
      <c r="H104" s="260"/>
      <c r="K104" s="213"/>
      <c r="Q104" s="211"/>
    </row>
    <row r="105" spans="1:17" ht="12.75">
      <c r="A105" s="258"/>
      <c r="B105" s="259"/>
      <c r="C105" s="260"/>
      <c r="D105" s="260"/>
      <c r="E105" s="260"/>
      <c r="F105" s="260"/>
      <c r="H105" s="260"/>
      <c r="K105" s="213"/>
      <c r="Q105" s="211"/>
    </row>
    <row r="106" spans="1:11" s="223" customFormat="1" ht="15">
      <c r="A106" s="223" t="s">
        <v>144</v>
      </c>
      <c r="K106" s="224"/>
    </row>
    <row r="107" spans="11:17" ht="12.75">
      <c r="K107" s="213"/>
      <c r="Q107" s="211"/>
    </row>
    <row r="108" spans="1:5" s="214" customFormat="1" ht="51">
      <c r="A108" s="723" t="s">
        <v>145</v>
      </c>
      <c r="B108" s="723"/>
      <c r="C108" s="227" t="s">
        <v>78</v>
      </c>
      <c r="D108" s="225" t="s">
        <v>146</v>
      </c>
      <c r="E108" s="227" t="s">
        <v>147</v>
      </c>
    </row>
    <row r="109" spans="1:5" s="214" customFormat="1" ht="42" customHeight="1">
      <c r="A109" s="724" t="s">
        <v>107</v>
      </c>
      <c r="B109" s="724"/>
      <c r="C109" s="227" t="s">
        <v>168</v>
      </c>
      <c r="D109" s="272">
        <f>C58+C64</f>
        <v>13578.299250000002</v>
      </c>
      <c r="E109" s="247">
        <f>D31</f>
        <v>152</v>
      </c>
    </row>
    <row r="111" s="261" customFormat="1" ht="13.5" customHeight="1" thickBot="1"/>
    <row r="112" spans="1:2" s="261" customFormat="1" ht="15">
      <c r="A112" s="262" t="s">
        <v>22</v>
      </c>
      <c r="B112" s="263" t="s">
        <v>148</v>
      </c>
    </row>
    <row r="113" spans="1:17" s="214" customFormat="1" ht="15">
      <c r="A113" s="223" t="s">
        <v>149</v>
      </c>
      <c r="Q113" s="217"/>
    </row>
    <row r="114" spans="1:17" s="214" customFormat="1" ht="15">
      <c r="A114" s="223"/>
      <c r="Q114" s="217"/>
    </row>
    <row r="115" spans="1:17" s="251" customFormat="1" ht="17.25" customHeight="1">
      <c r="A115" s="725" t="s">
        <v>150</v>
      </c>
      <c r="B115" s="725"/>
      <c r="C115" s="725"/>
      <c r="D115" s="725"/>
      <c r="E115" s="725"/>
      <c r="F115" s="725"/>
      <c r="G115" s="725"/>
      <c r="H115" s="725"/>
      <c r="I115" s="725"/>
      <c r="J115" s="725"/>
      <c r="K115" s="725"/>
      <c r="L115" s="725"/>
      <c r="M115" s="725"/>
      <c r="N115" s="725"/>
      <c r="O115" s="725"/>
      <c r="Q115" s="252"/>
    </row>
    <row r="117" spans="1:17" ht="12.75">
      <c r="A117" s="750" t="s">
        <v>177</v>
      </c>
      <c r="B117" s="750"/>
      <c r="C117" s="750"/>
      <c r="D117" s="750"/>
      <c r="E117" s="264"/>
      <c r="G117" s="213"/>
      <c r="Q117" s="211"/>
    </row>
    <row r="118" spans="1:17" ht="17.25" customHeight="1">
      <c r="A118" s="265"/>
      <c r="B118" s="265"/>
      <c r="C118" s="265"/>
      <c r="D118" s="265"/>
      <c r="E118" s="265"/>
      <c r="G118" s="213"/>
      <c r="Q118" s="211"/>
    </row>
    <row r="119" spans="1:17" ht="17.25" customHeight="1">
      <c r="A119" s="265"/>
      <c r="B119" s="265"/>
      <c r="C119" s="265"/>
      <c r="D119" s="265"/>
      <c r="E119" s="265"/>
      <c r="G119" s="213"/>
      <c r="Q119" s="211"/>
    </row>
    <row r="120" spans="1:17" ht="12.75">
      <c r="A120" s="260"/>
      <c r="B120" s="260"/>
      <c r="C120" s="260"/>
      <c r="D120" s="260"/>
      <c r="E120" s="260"/>
      <c r="G120" s="213"/>
      <c r="Q120" s="211"/>
    </row>
    <row r="121" ht="12.75" hidden="1"/>
    <row r="123" spans="1:17" s="214" customFormat="1" ht="36" customHeight="1">
      <c r="A123" s="725" t="s">
        <v>151</v>
      </c>
      <c r="B123" s="725"/>
      <c r="C123" s="725"/>
      <c r="D123" s="725"/>
      <c r="E123" s="725"/>
      <c r="F123" s="725"/>
      <c r="G123" s="725"/>
      <c r="H123" s="725"/>
      <c r="I123" s="725"/>
      <c r="J123" s="725"/>
      <c r="K123" s="725"/>
      <c r="L123" s="725"/>
      <c r="M123" s="725"/>
      <c r="N123" s="725"/>
      <c r="O123" s="725"/>
      <c r="Q123" s="217"/>
    </row>
    <row r="125" spans="1:17" ht="12.75">
      <c r="A125" s="264" t="s">
        <v>180</v>
      </c>
      <c r="B125" s="264"/>
      <c r="C125" s="264"/>
      <c r="D125" s="264"/>
      <c r="E125" s="264"/>
      <c r="F125" s="264"/>
      <c r="G125" s="213"/>
      <c r="Q125" s="211"/>
    </row>
    <row r="126" spans="1:17" ht="17.25" customHeight="1">
      <c r="A126" s="265"/>
      <c r="B126" s="265"/>
      <c r="C126" s="265"/>
      <c r="D126" s="265"/>
      <c r="E126" s="265"/>
      <c r="G126" s="213"/>
      <c r="Q126" s="211"/>
    </row>
    <row r="127" spans="1:17" ht="15.75" customHeight="1">
      <c r="A127" s="265"/>
      <c r="B127" s="265"/>
      <c r="C127" s="265"/>
      <c r="D127" s="265"/>
      <c r="E127" s="265"/>
      <c r="G127" s="213"/>
      <c r="Q127" s="211"/>
    </row>
    <row r="128" spans="1:17" ht="12.75">
      <c r="A128" s="260"/>
      <c r="B128" s="260"/>
      <c r="C128" s="260"/>
      <c r="D128" s="260"/>
      <c r="E128" s="260"/>
      <c r="G128" s="213"/>
      <c r="Q128" s="211"/>
    </row>
    <row r="129" spans="7:17" ht="12.75">
      <c r="G129" s="213"/>
      <c r="Q129" s="211"/>
    </row>
    <row r="130" spans="1:17" s="223" customFormat="1" ht="27.75" customHeight="1">
      <c r="A130" s="223" t="s">
        <v>152</v>
      </c>
      <c r="Q130" s="224"/>
    </row>
    <row r="131" spans="2:17" ht="12.75">
      <c r="B131" s="260"/>
      <c r="G131" s="213"/>
      <c r="Q131" s="211"/>
    </row>
    <row r="132" spans="1:17" ht="12.75">
      <c r="A132" s="266" t="s">
        <v>181</v>
      </c>
      <c r="B132" s="264"/>
      <c r="C132" s="266"/>
      <c r="D132" s="266"/>
      <c r="E132" s="266"/>
      <c r="G132" s="213"/>
      <c r="Q132" s="211"/>
    </row>
    <row r="133" spans="1:17" ht="16.5" customHeight="1">
      <c r="A133" s="265"/>
      <c r="B133" s="265"/>
      <c r="C133" s="265"/>
      <c r="D133" s="265"/>
      <c r="E133" s="265"/>
      <c r="G133" s="213"/>
      <c r="Q133" s="211"/>
    </row>
    <row r="134" spans="1:17" ht="15.75" customHeight="1">
      <c r="A134" s="265"/>
      <c r="B134" s="265"/>
      <c r="C134" s="265"/>
      <c r="D134" s="265"/>
      <c r="E134" s="265"/>
      <c r="G134" s="213"/>
      <c r="Q134" s="211"/>
    </row>
    <row r="135" spans="1:14" ht="12.75">
      <c r="A135" s="260"/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</row>
    <row r="136" spans="1:14" ht="12.75">
      <c r="A136" s="260"/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</row>
    <row r="137" spans="1:14" ht="12.75">
      <c r="A137" s="260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</row>
    <row r="140" spans="1:13" s="214" customFormat="1" ht="16.5">
      <c r="A140" s="721" t="s">
        <v>170</v>
      </c>
      <c r="B140" s="721"/>
      <c r="D140" s="273"/>
      <c r="L140" s="273" t="s">
        <v>364</v>
      </c>
      <c r="M140" s="214" t="s">
        <v>101</v>
      </c>
    </row>
    <row r="141" spans="1:17" s="214" customFormat="1" ht="16.5">
      <c r="A141" s="267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Q141" s="217"/>
    </row>
    <row r="142" spans="1:16" s="214" customFormat="1" ht="16.5">
      <c r="A142" s="267"/>
      <c r="B142" s="224" t="s">
        <v>102</v>
      </c>
      <c r="C142" s="342">
        <v>41558</v>
      </c>
      <c r="D142" s="224" t="s">
        <v>103</v>
      </c>
      <c r="E142" s="224"/>
      <c r="F142" s="224"/>
      <c r="G142" s="224"/>
      <c r="H142" s="224"/>
      <c r="I142" s="224"/>
      <c r="J142" s="224"/>
      <c r="K142" s="224"/>
      <c r="L142" s="224"/>
      <c r="M142" s="224"/>
      <c r="P142" s="217"/>
    </row>
    <row r="143" spans="1:3" ht="21" customHeight="1">
      <c r="A143" s="269"/>
      <c r="B143" s="270"/>
      <c r="C143" s="270"/>
    </row>
    <row r="144" spans="1:3" ht="16.5" customHeight="1">
      <c r="A144" s="269"/>
      <c r="B144" s="270"/>
      <c r="C144" s="270"/>
    </row>
    <row r="145" spans="2:3" ht="12.75" customHeight="1">
      <c r="B145" s="270"/>
      <c r="C145" s="270"/>
    </row>
    <row r="146" spans="2:3" ht="12.75" customHeight="1">
      <c r="B146" s="270"/>
      <c r="C146" s="270"/>
    </row>
    <row r="147" spans="2:3" ht="12.75" customHeight="1">
      <c r="B147" s="270"/>
      <c r="C147" s="270"/>
    </row>
    <row r="148" spans="2:3" ht="12" customHeight="1">
      <c r="B148" s="270"/>
      <c r="C148" s="270"/>
    </row>
    <row r="149" ht="12" customHeight="1">
      <c r="C149" s="270"/>
    </row>
    <row r="150" ht="13.5" customHeight="1">
      <c r="C150" s="270"/>
    </row>
  </sheetData>
  <sheetProtection/>
  <mergeCells count="110">
    <mergeCell ref="A25:P25"/>
    <mergeCell ref="A26:B26"/>
    <mergeCell ref="A13:P13"/>
    <mergeCell ref="A14:P14"/>
    <mergeCell ref="A24:B24"/>
    <mergeCell ref="E24:P24"/>
    <mergeCell ref="N40:P40"/>
    <mergeCell ref="A41:P41"/>
    <mergeCell ref="A27:B27"/>
    <mergeCell ref="A28:B28"/>
    <mergeCell ref="A29:B29"/>
    <mergeCell ref="A30:P30"/>
    <mergeCell ref="A31:B31"/>
    <mergeCell ref="A32:B32"/>
    <mergeCell ref="A44:B44"/>
    <mergeCell ref="C44:D44"/>
    <mergeCell ref="A33:B33"/>
    <mergeCell ref="A34:B34"/>
    <mergeCell ref="A40:B40"/>
    <mergeCell ref="C40:D40"/>
    <mergeCell ref="A42:B42"/>
    <mergeCell ref="C42:D42"/>
    <mergeCell ref="A43:B43"/>
    <mergeCell ref="C43:D43"/>
    <mergeCell ref="A47:B47"/>
    <mergeCell ref="C47:D47"/>
    <mergeCell ref="A48:B48"/>
    <mergeCell ref="C48:D48"/>
    <mergeCell ref="A45:B45"/>
    <mergeCell ref="C45:D45"/>
    <mergeCell ref="A46:B46"/>
    <mergeCell ref="C46:D46"/>
    <mergeCell ref="A53:B53"/>
    <mergeCell ref="C53:D53"/>
    <mergeCell ref="A54:B54"/>
    <mergeCell ref="C54:D54"/>
    <mergeCell ref="A51:B51"/>
    <mergeCell ref="C51:D51"/>
    <mergeCell ref="A52:B52"/>
    <mergeCell ref="C52:D52"/>
    <mergeCell ref="A49:B49"/>
    <mergeCell ref="C49:D49"/>
    <mergeCell ref="A50:B50"/>
    <mergeCell ref="C50:D50"/>
    <mergeCell ref="A60:B60"/>
    <mergeCell ref="C60:D60"/>
    <mergeCell ref="A61:B61"/>
    <mergeCell ref="A55:B55"/>
    <mergeCell ref="C55:D55"/>
    <mergeCell ref="A56:B56"/>
    <mergeCell ref="C56:D56"/>
    <mergeCell ref="A57:P57"/>
    <mergeCell ref="A58:B58"/>
    <mergeCell ref="C58:D58"/>
    <mergeCell ref="A59:B59"/>
    <mergeCell ref="C59:D59"/>
    <mergeCell ref="A65:B65"/>
    <mergeCell ref="C65:D65"/>
    <mergeCell ref="A66:B66"/>
    <mergeCell ref="A63:B63"/>
    <mergeCell ref="C63:D63"/>
    <mergeCell ref="A70:B70"/>
    <mergeCell ref="C70:D70"/>
    <mergeCell ref="A71:B71"/>
    <mergeCell ref="C61:D61"/>
    <mergeCell ref="A62:B62"/>
    <mergeCell ref="C62:D62"/>
    <mergeCell ref="A69:B69"/>
    <mergeCell ref="C69:D69"/>
    <mergeCell ref="A64:B64"/>
    <mergeCell ref="C64:D64"/>
    <mergeCell ref="C66:D66"/>
    <mergeCell ref="A67:B67"/>
    <mergeCell ref="C67:D67"/>
    <mergeCell ref="A68:B68"/>
    <mergeCell ref="C68:D68"/>
    <mergeCell ref="C82:D82"/>
    <mergeCell ref="F82:G82"/>
    <mergeCell ref="B79:B80"/>
    <mergeCell ref="C79:D80"/>
    <mergeCell ref="A88:A89"/>
    <mergeCell ref="B88:B89"/>
    <mergeCell ref="C88:D89"/>
    <mergeCell ref="F88:G89"/>
    <mergeCell ref="C71:D71"/>
    <mergeCell ref="A72:B72"/>
    <mergeCell ref="C72:D72"/>
    <mergeCell ref="F79:G80"/>
    <mergeCell ref="C81:D81"/>
    <mergeCell ref="F81:G81"/>
    <mergeCell ref="A79:A80"/>
    <mergeCell ref="D97:D98"/>
    <mergeCell ref="E97:E98"/>
    <mergeCell ref="C83:D83"/>
    <mergeCell ref="F83:G83"/>
    <mergeCell ref="F90:G90"/>
    <mergeCell ref="C91:D91"/>
    <mergeCell ref="F91:G91"/>
    <mergeCell ref="C90:D90"/>
    <mergeCell ref="A140:B140"/>
    <mergeCell ref="A97:A98"/>
    <mergeCell ref="B97:B98"/>
    <mergeCell ref="C97:C98"/>
    <mergeCell ref="A109:B109"/>
    <mergeCell ref="A115:O115"/>
    <mergeCell ref="A117:D117"/>
    <mergeCell ref="A123:O123"/>
    <mergeCell ref="C92:D92"/>
    <mergeCell ref="F92:G92"/>
    <mergeCell ref="A108:B108"/>
  </mergeCells>
  <printOptions/>
  <pageMargins left="0.7" right="0.7" top="0.75" bottom="0.75" header="0.3" footer="0.3"/>
  <pageSetup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7.125" style="261" customWidth="1"/>
    <col min="2" max="2" width="33.625" style="261" customWidth="1"/>
    <col min="3" max="3" width="8.75390625" style="261" bestFit="1" customWidth="1"/>
    <col min="4" max="6" width="14.75390625" style="261" bestFit="1" customWidth="1"/>
    <col min="7" max="7" width="16.375" style="261" customWidth="1"/>
    <col min="8" max="8" width="14.75390625" style="261" bestFit="1" customWidth="1"/>
    <col min="9" max="9" width="15.00390625" style="261" customWidth="1"/>
    <col min="10" max="10" width="16.625" style="261" bestFit="1" customWidth="1"/>
    <col min="11" max="11" width="15.875" style="261" bestFit="1" customWidth="1"/>
    <col min="12" max="12" width="14.625" style="261" customWidth="1"/>
    <col min="13" max="13" width="14.75390625" style="261" bestFit="1" customWidth="1"/>
    <col min="14" max="14" width="15.00390625" style="261" customWidth="1"/>
    <col min="15" max="15" width="14.625" style="261" customWidth="1"/>
    <col min="16" max="16" width="14.25390625" style="261" customWidth="1"/>
    <col min="17" max="18" width="15.25390625" style="261" customWidth="1"/>
    <col min="19" max="19" width="15.875" style="261" bestFit="1" customWidth="1"/>
    <col min="20" max="20" width="17.25390625" style="261" customWidth="1"/>
    <col min="21" max="21" width="15.875" style="261" bestFit="1" customWidth="1"/>
    <col min="22" max="22" width="16.875" style="261" customWidth="1"/>
  </cols>
  <sheetData>
    <row r="1" spans="2:20" ht="15">
      <c r="B1" s="712" t="s">
        <v>204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</row>
    <row r="2" spans="2:20" ht="15">
      <c r="B2" s="311"/>
      <c r="C2" s="713" t="s">
        <v>310</v>
      </c>
      <c r="D2" s="713" t="s">
        <v>379</v>
      </c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4"/>
      <c r="T2" s="312"/>
    </row>
    <row r="3" spans="2:20" ht="15">
      <c r="B3" s="311"/>
      <c r="C3" s="713"/>
      <c r="D3" s="311">
        <v>1</v>
      </c>
      <c r="E3" s="311">
        <v>2</v>
      </c>
      <c r="F3" s="311">
        <v>3</v>
      </c>
      <c r="G3" s="311" t="s">
        <v>378</v>
      </c>
      <c r="H3" s="311">
        <v>4</v>
      </c>
      <c r="I3" s="311">
        <v>5</v>
      </c>
      <c r="J3" s="311">
        <v>6</v>
      </c>
      <c r="K3" s="311" t="s">
        <v>377</v>
      </c>
      <c r="L3" s="311">
        <v>7</v>
      </c>
      <c r="M3" s="311">
        <v>8</v>
      </c>
      <c r="N3" s="311">
        <v>9</v>
      </c>
      <c r="O3" s="311" t="s">
        <v>376</v>
      </c>
      <c r="P3" s="311">
        <v>10</v>
      </c>
      <c r="Q3" s="311">
        <v>11</v>
      </c>
      <c r="R3" s="311">
        <v>12</v>
      </c>
      <c r="S3" s="311" t="s">
        <v>375</v>
      </c>
      <c r="T3" s="311"/>
    </row>
    <row r="4" spans="1:22" ht="15">
      <c r="A4" s="657" t="s">
        <v>186</v>
      </c>
      <c r="B4" s="311"/>
      <c r="C4" s="313">
        <v>211</v>
      </c>
      <c r="D4" s="330"/>
      <c r="E4" s="330"/>
      <c r="F4" s="330"/>
      <c r="G4" s="330">
        <f>G5+G6</f>
        <v>0</v>
      </c>
      <c r="H4" s="330"/>
      <c r="I4" s="330"/>
      <c r="J4" s="330"/>
      <c r="K4" s="330">
        <f>K5+K6</f>
        <v>0</v>
      </c>
      <c r="L4" s="330"/>
      <c r="M4" s="330"/>
      <c r="N4" s="330"/>
      <c r="O4" s="330">
        <f>O5+O6</f>
        <v>0</v>
      </c>
      <c r="P4" s="330"/>
      <c r="Q4" s="330"/>
      <c r="R4" s="330"/>
      <c r="S4" s="330">
        <f>S5+S6</f>
        <v>0</v>
      </c>
      <c r="T4" s="330">
        <f>T5+T6</f>
        <v>0</v>
      </c>
      <c r="U4" s="314">
        <f>проверка!C7</f>
        <v>13687402.996242134</v>
      </c>
      <c r="V4" s="314">
        <f aca="true" t="shared" si="0" ref="V4:V11">U4-T4</f>
        <v>13687402.996242134</v>
      </c>
    </row>
    <row r="5" spans="1:22" ht="33.75">
      <c r="A5" s="657"/>
      <c r="B5" s="307" t="s">
        <v>374</v>
      </c>
      <c r="C5" s="315">
        <v>211</v>
      </c>
      <c r="D5" s="331"/>
      <c r="E5" s="331"/>
      <c r="F5" s="331"/>
      <c r="G5" s="332">
        <f>SUM(D5:F5)</f>
        <v>0</v>
      </c>
      <c r="H5" s="331"/>
      <c r="I5" s="331"/>
      <c r="J5" s="331"/>
      <c r="K5" s="332">
        <f>SUM(H5:J5)</f>
        <v>0</v>
      </c>
      <c r="L5" s="331"/>
      <c r="M5" s="331"/>
      <c r="N5" s="331"/>
      <c r="O5" s="332">
        <f>SUM(L5:N5)</f>
        <v>0</v>
      </c>
      <c r="P5" s="331"/>
      <c r="Q5" s="331"/>
      <c r="R5" s="331"/>
      <c r="S5" s="332">
        <f>SUM(P5:R5)</f>
        <v>0</v>
      </c>
      <c r="T5" s="334">
        <f>S5+O5+K5+G5</f>
        <v>0</v>
      </c>
      <c r="U5" s="317">
        <f>'свод '!F16</f>
        <v>6874000.56</v>
      </c>
      <c r="V5" s="314">
        <f t="shared" si="0"/>
        <v>6874000.56</v>
      </c>
    </row>
    <row r="6" spans="1:22" ht="33.75">
      <c r="A6" s="657"/>
      <c r="B6" s="307" t="s">
        <v>289</v>
      </c>
      <c r="C6" s="318">
        <v>211</v>
      </c>
      <c r="D6" s="334">
        <f>D4-D5</f>
        <v>0</v>
      </c>
      <c r="E6" s="334">
        <f>E4-E5</f>
        <v>0</v>
      </c>
      <c r="F6" s="334">
        <f>F4-F5</f>
        <v>0</v>
      </c>
      <c r="G6" s="332">
        <f>SUM(D6:F6)</f>
        <v>0</v>
      </c>
      <c r="H6" s="334">
        <f>H4-H5</f>
        <v>0</v>
      </c>
      <c r="I6" s="334">
        <f>I4-I5</f>
        <v>0</v>
      </c>
      <c r="J6" s="334">
        <f>J4-J5</f>
        <v>0</v>
      </c>
      <c r="K6" s="332">
        <f>SUM(H6:J6)</f>
        <v>0</v>
      </c>
      <c r="L6" s="334">
        <f>L4-L5</f>
        <v>0</v>
      </c>
      <c r="M6" s="334">
        <f>M4-M5</f>
        <v>0</v>
      </c>
      <c r="N6" s="334">
        <f>N4-N5</f>
        <v>0</v>
      </c>
      <c r="O6" s="332">
        <f>SUM(L6:N6)</f>
        <v>0</v>
      </c>
      <c r="P6" s="334">
        <f>P4-P5</f>
        <v>0</v>
      </c>
      <c r="Q6" s="334">
        <f>Q4-Q5</f>
        <v>0</v>
      </c>
      <c r="R6" s="334">
        <f>R4-R5</f>
        <v>0</v>
      </c>
      <c r="S6" s="332">
        <f>SUM(P6:R6)</f>
        <v>0</v>
      </c>
      <c r="T6" s="334">
        <f aca="true" t="shared" si="1" ref="T6:T27">S6+O6+K6+G6</f>
        <v>0</v>
      </c>
      <c r="U6" s="314">
        <f>'свод '!F36</f>
        <v>6813402.436242134</v>
      </c>
      <c r="V6" s="314">
        <f t="shared" si="0"/>
        <v>6813402.436242134</v>
      </c>
    </row>
    <row r="7" spans="1:22" ht="45">
      <c r="A7" s="657"/>
      <c r="B7" s="307" t="s">
        <v>373</v>
      </c>
      <c r="C7" s="318">
        <v>213</v>
      </c>
      <c r="D7" s="334"/>
      <c r="E7" s="334"/>
      <c r="F7" s="334"/>
      <c r="G7" s="332">
        <f>SUM(D7:F7)</f>
        <v>0</v>
      </c>
      <c r="H7" s="334"/>
      <c r="I7" s="334"/>
      <c r="J7" s="334"/>
      <c r="K7" s="332">
        <f>SUM(H7:J7)</f>
        <v>0</v>
      </c>
      <c r="L7" s="334"/>
      <c r="M7" s="334"/>
      <c r="N7" s="334"/>
      <c r="O7" s="332">
        <f>SUM(L7:N7)</f>
        <v>0</v>
      </c>
      <c r="P7" s="334"/>
      <c r="Q7" s="334"/>
      <c r="R7" s="334"/>
      <c r="S7" s="332">
        <f>SUM(P7:R7)</f>
        <v>0</v>
      </c>
      <c r="T7" s="334">
        <f t="shared" si="1"/>
        <v>0</v>
      </c>
      <c r="U7" s="314">
        <f>'свод '!F17</f>
        <v>2075948.17</v>
      </c>
      <c r="V7" s="314">
        <f t="shared" si="0"/>
        <v>2075948.17</v>
      </c>
    </row>
    <row r="8" spans="1:22" ht="45">
      <c r="A8" s="657"/>
      <c r="B8" s="307" t="s">
        <v>166</v>
      </c>
      <c r="C8" s="315">
        <v>213</v>
      </c>
      <c r="D8" s="334">
        <f>D9-D7</f>
        <v>0</v>
      </c>
      <c r="E8" s="334">
        <f>E9-E7</f>
        <v>0</v>
      </c>
      <c r="F8" s="334">
        <f>F9-F7</f>
        <v>0</v>
      </c>
      <c r="G8" s="332">
        <f>SUM(D8:F8)</f>
        <v>0</v>
      </c>
      <c r="H8" s="334">
        <f>H9-H7</f>
        <v>0</v>
      </c>
      <c r="I8" s="334">
        <f>I9-I7</f>
        <v>0</v>
      </c>
      <c r="J8" s="334">
        <f>J9-J7</f>
        <v>0</v>
      </c>
      <c r="K8" s="332">
        <f>SUM(H8:J8)</f>
        <v>0</v>
      </c>
      <c r="L8" s="334">
        <f>L9-L7</f>
        <v>0</v>
      </c>
      <c r="M8" s="334">
        <f>M9-M7</f>
        <v>0</v>
      </c>
      <c r="N8" s="334">
        <f>N9-N7</f>
        <v>0</v>
      </c>
      <c r="O8" s="332">
        <f>SUM(L8:N8)</f>
        <v>0</v>
      </c>
      <c r="P8" s="334">
        <f>P9-P7</f>
        <v>0</v>
      </c>
      <c r="Q8" s="334">
        <f>Q9-Q7</f>
        <v>0</v>
      </c>
      <c r="R8" s="334">
        <f>R9-R7</f>
        <v>0</v>
      </c>
      <c r="S8" s="332">
        <f>SUM(P8:R8)</f>
        <v>0</v>
      </c>
      <c r="T8" s="334">
        <f t="shared" si="1"/>
        <v>0</v>
      </c>
      <c r="U8" s="320" t="e">
        <f>'свод '!#REF!</f>
        <v>#REF!</v>
      </c>
      <c r="V8" s="314" t="e">
        <f t="shared" si="0"/>
        <v>#REF!</v>
      </c>
    </row>
    <row r="9" spans="1:22" ht="15">
      <c r="A9" s="657"/>
      <c r="B9" s="307"/>
      <c r="C9" s="316">
        <v>213</v>
      </c>
      <c r="D9" s="330"/>
      <c r="E9" s="330"/>
      <c r="F9" s="330"/>
      <c r="G9" s="330">
        <f>G7+G8</f>
        <v>0</v>
      </c>
      <c r="H9" s="330"/>
      <c r="I9" s="330"/>
      <c r="J9" s="330"/>
      <c r="K9" s="330">
        <f>K7+K8</f>
        <v>0</v>
      </c>
      <c r="L9" s="330"/>
      <c r="M9" s="330"/>
      <c r="N9" s="330"/>
      <c r="O9" s="330">
        <f>O7+O8</f>
        <v>0</v>
      </c>
      <c r="P9" s="330"/>
      <c r="Q9" s="330"/>
      <c r="R9" s="330"/>
      <c r="S9" s="330">
        <f>S7+S8</f>
        <v>0</v>
      </c>
      <c r="T9" s="330">
        <f>T7+T8</f>
        <v>0</v>
      </c>
      <c r="U9" s="317">
        <f>проверка!C8</f>
        <v>4133596</v>
      </c>
      <c r="V9" s="314">
        <f t="shared" si="0"/>
        <v>4133596</v>
      </c>
    </row>
    <row r="10" spans="1:22" ht="15">
      <c r="A10" s="657"/>
      <c r="B10" s="248" t="s">
        <v>371</v>
      </c>
      <c r="C10" s="311">
        <v>226</v>
      </c>
      <c r="D10" s="334"/>
      <c r="E10" s="334"/>
      <c r="F10" s="334"/>
      <c r="G10" s="332">
        <f>SUM(D10:F10)</f>
        <v>0</v>
      </c>
      <c r="H10" s="334"/>
      <c r="I10" s="334"/>
      <c r="J10" s="334"/>
      <c r="K10" s="332">
        <f>SUM(H10:J10)</f>
        <v>0</v>
      </c>
      <c r="L10" s="334"/>
      <c r="M10" s="334"/>
      <c r="N10" s="334"/>
      <c r="O10" s="332">
        <f>SUM(L10:N10)</f>
        <v>0</v>
      </c>
      <c r="P10" s="334"/>
      <c r="Q10" s="334"/>
      <c r="R10" s="334"/>
      <c r="S10" s="332">
        <f>SUM(P10:R10)</f>
        <v>0</v>
      </c>
      <c r="T10" s="334">
        <f>S10+O10+K10+G10</f>
        <v>0</v>
      </c>
      <c r="U10" s="317">
        <f>проверка!C9</f>
        <v>12774</v>
      </c>
      <c r="V10" s="314">
        <f t="shared" si="0"/>
        <v>12774</v>
      </c>
    </row>
    <row r="11" spans="1:22" ht="15">
      <c r="A11" s="657"/>
      <c r="B11" s="310" t="s">
        <v>188</v>
      </c>
      <c r="C11" s="311">
        <v>340</v>
      </c>
      <c r="D11" s="334"/>
      <c r="E11" s="334"/>
      <c r="F11" s="334"/>
      <c r="G11" s="332">
        <f>SUM(D11:F11)</f>
        <v>0</v>
      </c>
      <c r="H11" s="334"/>
      <c r="I11" s="334"/>
      <c r="J11" s="334"/>
      <c r="K11" s="332">
        <f>SUM(H11:J11)</f>
        <v>0</v>
      </c>
      <c r="L11" s="334"/>
      <c r="M11" s="334"/>
      <c r="N11" s="334"/>
      <c r="O11" s="332">
        <f>SUM(L11:N11)</f>
        <v>0</v>
      </c>
      <c r="P11" s="334"/>
      <c r="Q11" s="334"/>
      <c r="R11" s="334"/>
      <c r="S11" s="332">
        <f>SUM(P11:R11)</f>
        <v>0</v>
      </c>
      <c r="T11" s="334">
        <f>S11+O11+K11+G11</f>
        <v>0</v>
      </c>
      <c r="U11" s="317">
        <f>проверка!C10</f>
        <v>108756</v>
      </c>
      <c r="V11" s="314">
        <f t="shared" si="0"/>
        <v>108756</v>
      </c>
    </row>
    <row r="12" spans="1:22" ht="15">
      <c r="A12" s="657"/>
      <c r="B12" s="307"/>
      <c r="C12" s="316"/>
      <c r="D12" s="330">
        <f>D9+D4</f>
        <v>0</v>
      </c>
      <c r="E12" s="330">
        <f>E9+E4</f>
        <v>0</v>
      </c>
      <c r="F12" s="330">
        <f>F9+F4</f>
        <v>0</v>
      </c>
      <c r="G12" s="330">
        <f>D12+E12+F12</f>
        <v>0</v>
      </c>
      <c r="H12" s="330">
        <f>H9+H4</f>
        <v>0</v>
      </c>
      <c r="I12" s="330">
        <f>I9+I4</f>
        <v>0</v>
      </c>
      <c r="J12" s="330">
        <f>J9+J4</f>
        <v>0</v>
      </c>
      <c r="K12" s="330">
        <f>H12+I12+J12</f>
        <v>0</v>
      </c>
      <c r="L12" s="330">
        <f>L9+L4</f>
        <v>0</v>
      </c>
      <c r="M12" s="330">
        <f>M9+M4</f>
        <v>0</v>
      </c>
      <c r="N12" s="330">
        <f>N9+N4</f>
        <v>0</v>
      </c>
      <c r="O12" s="330">
        <f>L12+M12+N12</f>
        <v>0</v>
      </c>
      <c r="P12" s="330">
        <f>P9+P4</f>
        <v>0</v>
      </c>
      <c r="Q12" s="330">
        <f>Q9+Q4</f>
        <v>0</v>
      </c>
      <c r="R12" s="330">
        <f>R9+R4</f>
        <v>0</v>
      </c>
      <c r="S12" s="330">
        <f>P12+Q12+R12</f>
        <v>0</v>
      </c>
      <c r="T12" s="330">
        <f t="shared" si="1"/>
        <v>0</v>
      </c>
      <c r="U12" s="317"/>
      <c r="V12" s="314"/>
    </row>
    <row r="13" spans="1:22" ht="15">
      <c r="A13" s="415"/>
      <c r="B13" s="307"/>
      <c r="C13" s="316"/>
      <c r="D13" s="330"/>
      <c r="E13" s="330"/>
      <c r="F13" s="330"/>
      <c r="G13" s="330">
        <f>G14</f>
        <v>0</v>
      </c>
      <c r="H13" s="330"/>
      <c r="I13" s="330"/>
      <c r="J13" s="330"/>
      <c r="K13" s="330">
        <f>K14</f>
        <v>0</v>
      </c>
      <c r="L13" s="330"/>
      <c r="M13" s="330"/>
      <c r="N13" s="330"/>
      <c r="O13" s="330">
        <f>O14</f>
        <v>0</v>
      </c>
      <c r="P13" s="330"/>
      <c r="Q13" s="330"/>
      <c r="R13" s="330"/>
      <c r="S13" s="330">
        <f>S14</f>
        <v>0</v>
      </c>
      <c r="T13" s="330">
        <f>T14+T15</f>
        <v>0</v>
      </c>
      <c r="U13" s="317">
        <f>проверка!B12</f>
        <v>724668</v>
      </c>
      <c r="V13" s="314">
        <f aca="true" t="shared" si="2" ref="V13:V18">U13-T13</f>
        <v>724668</v>
      </c>
    </row>
    <row r="14" spans="1:22" ht="33.75">
      <c r="A14" s="415"/>
      <c r="B14" s="307" t="s">
        <v>374</v>
      </c>
      <c r="C14" s="316" t="s">
        <v>307</v>
      </c>
      <c r="D14" s="334"/>
      <c r="E14" s="334"/>
      <c r="F14" s="334"/>
      <c r="G14" s="416">
        <f>SUM(D14:F14)</f>
        <v>0</v>
      </c>
      <c r="H14" s="334"/>
      <c r="I14" s="334"/>
      <c r="J14" s="334"/>
      <c r="K14" s="416">
        <f>SUM(H14:J14)</f>
        <v>0</v>
      </c>
      <c r="L14" s="334"/>
      <c r="M14" s="334"/>
      <c r="N14" s="334"/>
      <c r="O14" s="416">
        <f>SUM(L14:N14)</f>
        <v>0</v>
      </c>
      <c r="P14" s="334"/>
      <c r="Q14" s="334"/>
      <c r="R14" s="334"/>
      <c r="S14" s="416">
        <f>SUM(P14:R14)</f>
        <v>0</v>
      </c>
      <c r="T14" s="334">
        <f t="shared" si="1"/>
        <v>0</v>
      </c>
      <c r="U14" s="317"/>
      <c r="V14" s="314">
        <f t="shared" si="2"/>
        <v>0</v>
      </c>
    </row>
    <row r="15" spans="1:22" ht="33.75">
      <c r="A15" s="415"/>
      <c r="B15" s="307" t="s">
        <v>289</v>
      </c>
      <c r="C15" s="316"/>
      <c r="D15" s="334">
        <f>D13-D14</f>
        <v>0</v>
      </c>
      <c r="E15" s="334">
        <f>E13-E14</f>
        <v>0</v>
      </c>
      <c r="F15" s="334">
        <f>F13-F14</f>
        <v>0</v>
      </c>
      <c r="G15" s="416">
        <f>SUM(D15:F15)</f>
        <v>0</v>
      </c>
      <c r="H15" s="334">
        <f>H13-H14</f>
        <v>0</v>
      </c>
      <c r="I15" s="334">
        <f>I13-I14</f>
        <v>0</v>
      </c>
      <c r="J15" s="334">
        <f>J13-J14</f>
        <v>0</v>
      </c>
      <c r="K15" s="416">
        <f>SUM(H15:J15)</f>
        <v>0</v>
      </c>
      <c r="L15" s="334">
        <f>L13-L14</f>
        <v>0</v>
      </c>
      <c r="M15" s="334">
        <f>M13-M14</f>
        <v>0</v>
      </c>
      <c r="N15" s="334">
        <f>N13-N14</f>
        <v>0</v>
      </c>
      <c r="O15" s="416">
        <f>SUM(L15:N15)</f>
        <v>0</v>
      </c>
      <c r="P15" s="334">
        <f>P13-P14</f>
        <v>0</v>
      </c>
      <c r="Q15" s="334">
        <f>Q13-Q14</f>
        <v>0</v>
      </c>
      <c r="R15" s="334">
        <f>R13-R14</f>
        <v>0</v>
      </c>
      <c r="S15" s="416">
        <f>SUM(P15:R15)</f>
        <v>0</v>
      </c>
      <c r="T15" s="334">
        <f t="shared" si="1"/>
        <v>0</v>
      </c>
      <c r="U15" s="317"/>
      <c r="V15" s="314">
        <f t="shared" si="2"/>
        <v>0</v>
      </c>
    </row>
    <row r="16" spans="1:22" ht="45">
      <c r="A16" s="415"/>
      <c r="B16" s="307" t="s">
        <v>373</v>
      </c>
      <c r="C16" s="316"/>
      <c r="D16" s="334"/>
      <c r="E16" s="334"/>
      <c r="F16" s="334"/>
      <c r="G16" s="416">
        <f>SUM(D16:F16)</f>
        <v>0</v>
      </c>
      <c r="H16" s="334"/>
      <c r="I16" s="334"/>
      <c r="J16" s="334"/>
      <c r="K16" s="416">
        <f>SUM(H16:J16)</f>
        <v>0</v>
      </c>
      <c r="L16" s="334"/>
      <c r="M16" s="334"/>
      <c r="N16" s="334"/>
      <c r="O16" s="416">
        <f>SUM(L16:N16)</f>
        <v>0</v>
      </c>
      <c r="P16" s="334"/>
      <c r="Q16" s="334"/>
      <c r="R16" s="334"/>
      <c r="S16" s="416">
        <f>SUM(P16:R16)</f>
        <v>0</v>
      </c>
      <c r="T16" s="334">
        <f t="shared" si="1"/>
        <v>0</v>
      </c>
      <c r="U16" s="317"/>
      <c r="V16" s="314">
        <f t="shared" si="2"/>
        <v>0</v>
      </c>
    </row>
    <row r="17" spans="1:22" ht="45">
      <c r="A17" s="415"/>
      <c r="B17" s="307" t="s">
        <v>166</v>
      </c>
      <c r="C17" s="316"/>
      <c r="D17" s="334">
        <f>D18-D16</f>
        <v>0</v>
      </c>
      <c r="E17" s="334">
        <f>E18-E16</f>
        <v>0</v>
      </c>
      <c r="F17" s="334">
        <f>F18-F16</f>
        <v>0</v>
      </c>
      <c r="G17" s="416">
        <f>SUM(D17:F17)</f>
        <v>0</v>
      </c>
      <c r="H17" s="334">
        <f>H18-H16</f>
        <v>0</v>
      </c>
      <c r="I17" s="334">
        <f>I18-I16</f>
        <v>0</v>
      </c>
      <c r="J17" s="334">
        <f>J18-J16</f>
        <v>0</v>
      </c>
      <c r="K17" s="416">
        <f>SUM(H17:J17)</f>
        <v>0</v>
      </c>
      <c r="L17" s="334">
        <f>L18-L16</f>
        <v>0</v>
      </c>
      <c r="M17" s="334">
        <f>M18-M16</f>
        <v>0</v>
      </c>
      <c r="N17" s="334">
        <f>N18-N16</f>
        <v>0</v>
      </c>
      <c r="O17" s="416">
        <f>SUM(L17:N17)</f>
        <v>0</v>
      </c>
      <c r="P17" s="334">
        <f>P18-P16</f>
        <v>0</v>
      </c>
      <c r="Q17" s="334">
        <f>Q18-Q16</f>
        <v>0</v>
      </c>
      <c r="R17" s="334">
        <f>R18-R16</f>
        <v>0</v>
      </c>
      <c r="S17" s="416">
        <f>SUM(P17:R17)</f>
        <v>0</v>
      </c>
      <c r="T17" s="334">
        <f t="shared" si="1"/>
        <v>0</v>
      </c>
      <c r="U17" s="317"/>
      <c r="V17" s="314">
        <f t="shared" si="2"/>
        <v>0</v>
      </c>
    </row>
    <row r="18" spans="1:22" ht="15">
      <c r="A18" s="415"/>
      <c r="B18" s="307"/>
      <c r="C18" s="316"/>
      <c r="D18" s="330"/>
      <c r="E18" s="330"/>
      <c r="F18" s="330"/>
      <c r="G18" s="330">
        <f>G16+G17</f>
        <v>0</v>
      </c>
      <c r="H18" s="330"/>
      <c r="I18" s="330"/>
      <c r="J18" s="330"/>
      <c r="K18" s="330">
        <f>K16+K17</f>
        <v>0</v>
      </c>
      <c r="L18" s="330"/>
      <c r="M18" s="330"/>
      <c r="N18" s="330"/>
      <c r="O18" s="330">
        <f>O16+O17</f>
        <v>0</v>
      </c>
      <c r="P18" s="330"/>
      <c r="Q18" s="330"/>
      <c r="R18" s="330"/>
      <c r="S18" s="330">
        <f>S16+S17</f>
        <v>0</v>
      </c>
      <c r="T18" s="330">
        <f>R18+S18</f>
        <v>0</v>
      </c>
      <c r="U18" s="317">
        <f>проверка!B14</f>
        <v>218850</v>
      </c>
      <c r="V18" s="314">
        <f t="shared" si="2"/>
        <v>218850</v>
      </c>
    </row>
    <row r="19" spans="1:22" ht="22.5">
      <c r="A19" s="657" t="s">
        <v>187</v>
      </c>
      <c r="B19" s="307" t="s">
        <v>287</v>
      </c>
      <c r="C19" s="311">
        <v>212</v>
      </c>
      <c r="D19" s="334"/>
      <c r="E19" s="334"/>
      <c r="F19" s="334"/>
      <c r="G19" s="332">
        <f>D19+E19+F19</f>
        <v>0</v>
      </c>
      <c r="H19" s="334"/>
      <c r="I19" s="334"/>
      <c r="J19" s="334"/>
      <c r="K19" s="332">
        <f>H19+I19+J19</f>
        <v>0</v>
      </c>
      <c r="L19" s="334"/>
      <c r="M19" s="334"/>
      <c r="N19" s="334"/>
      <c r="O19" s="332">
        <f>L19+M19+N19</f>
        <v>0</v>
      </c>
      <c r="P19" s="334"/>
      <c r="Q19" s="334"/>
      <c r="R19" s="334"/>
      <c r="S19" s="332">
        <f>P19+Q19+R19</f>
        <v>0</v>
      </c>
      <c r="T19" s="334">
        <f t="shared" si="1"/>
        <v>0</v>
      </c>
      <c r="U19" s="314">
        <f>проверка!C13</f>
        <v>2400</v>
      </c>
      <c r="V19" s="314">
        <f aca="true" t="shared" si="3" ref="V19:V24">U19-T19</f>
        <v>2400</v>
      </c>
    </row>
    <row r="20" spans="1:22" ht="15">
      <c r="A20" s="657"/>
      <c r="B20" s="248" t="s">
        <v>305</v>
      </c>
      <c r="C20" s="311">
        <v>221</v>
      </c>
      <c r="D20" s="334"/>
      <c r="E20" s="334"/>
      <c r="F20" s="334"/>
      <c r="G20" s="332">
        <f aca="true" t="shared" si="4" ref="G20:G26">D20+E20+F20</f>
        <v>0</v>
      </c>
      <c r="H20" s="334"/>
      <c r="I20" s="334"/>
      <c r="J20" s="334"/>
      <c r="K20" s="332">
        <f aca="true" t="shared" si="5" ref="K20:K26">H20+I20+J20</f>
        <v>0</v>
      </c>
      <c r="L20" s="334"/>
      <c r="M20" s="334"/>
      <c r="N20" s="334"/>
      <c r="O20" s="332">
        <f aca="true" t="shared" si="6" ref="O20:O26">L20+M20+N20</f>
        <v>0</v>
      </c>
      <c r="P20" s="334"/>
      <c r="Q20" s="334"/>
      <c r="R20" s="334"/>
      <c r="S20" s="332">
        <f aca="true" t="shared" si="7" ref="S20:S26">P20+Q20+R20</f>
        <v>0</v>
      </c>
      <c r="T20" s="334">
        <f t="shared" si="1"/>
        <v>0</v>
      </c>
      <c r="U20" s="314">
        <f>'свод '!F103</f>
        <v>19449</v>
      </c>
      <c r="V20" s="314">
        <f t="shared" si="3"/>
        <v>19449</v>
      </c>
    </row>
    <row r="21" spans="1:22" ht="15">
      <c r="A21" s="657"/>
      <c r="B21" s="248" t="s">
        <v>368</v>
      </c>
      <c r="C21" s="311">
        <v>223</v>
      </c>
      <c r="D21" s="334"/>
      <c r="E21" s="334"/>
      <c r="F21" s="334"/>
      <c r="G21" s="332">
        <f t="shared" si="4"/>
        <v>0</v>
      </c>
      <c r="H21" s="334"/>
      <c r="I21" s="334"/>
      <c r="J21" s="334"/>
      <c r="K21" s="332">
        <f t="shared" si="5"/>
        <v>0</v>
      </c>
      <c r="L21" s="334"/>
      <c r="M21" s="334"/>
      <c r="N21" s="334"/>
      <c r="O21" s="332">
        <f t="shared" si="6"/>
        <v>0</v>
      </c>
      <c r="P21" s="334"/>
      <c r="Q21" s="334"/>
      <c r="R21" s="334"/>
      <c r="S21" s="332">
        <f t="shared" si="7"/>
        <v>0</v>
      </c>
      <c r="T21" s="334">
        <f t="shared" si="1"/>
        <v>0</v>
      </c>
      <c r="U21" s="314">
        <f>'свод '!F146</f>
        <v>995570</v>
      </c>
      <c r="V21" s="314">
        <f t="shared" si="3"/>
        <v>995570</v>
      </c>
    </row>
    <row r="22" spans="1:22" ht="15">
      <c r="A22" s="657"/>
      <c r="B22" s="309" t="s">
        <v>372</v>
      </c>
      <c r="C22" s="311">
        <v>225</v>
      </c>
      <c r="D22" s="334"/>
      <c r="E22" s="334"/>
      <c r="F22" s="334"/>
      <c r="G22" s="332">
        <f t="shared" si="4"/>
        <v>0</v>
      </c>
      <c r="H22" s="334"/>
      <c r="I22" s="334"/>
      <c r="J22" s="334"/>
      <c r="K22" s="332">
        <f t="shared" si="5"/>
        <v>0</v>
      </c>
      <c r="L22" s="334"/>
      <c r="M22" s="334"/>
      <c r="N22" s="334"/>
      <c r="O22" s="332">
        <f t="shared" si="6"/>
        <v>0</v>
      </c>
      <c r="P22" s="334"/>
      <c r="Q22" s="334"/>
      <c r="R22" s="334"/>
      <c r="S22" s="332">
        <f t="shared" si="7"/>
        <v>0</v>
      </c>
      <c r="T22" s="334">
        <f t="shared" si="1"/>
        <v>0</v>
      </c>
      <c r="U22" s="314">
        <f>проверка!C17</f>
        <v>108032</v>
      </c>
      <c r="V22" s="314">
        <f t="shared" si="3"/>
        <v>108032</v>
      </c>
    </row>
    <row r="23" spans="1:22" ht="15">
      <c r="A23" s="657"/>
      <c r="B23" s="248" t="s">
        <v>371</v>
      </c>
      <c r="C23" s="311">
        <v>226</v>
      </c>
      <c r="D23" s="334"/>
      <c r="E23" s="334"/>
      <c r="F23" s="334"/>
      <c r="G23" s="332">
        <f t="shared" si="4"/>
        <v>0</v>
      </c>
      <c r="H23" s="334"/>
      <c r="I23" s="334"/>
      <c r="J23" s="334"/>
      <c r="K23" s="332">
        <f t="shared" si="5"/>
        <v>0</v>
      </c>
      <c r="L23" s="334"/>
      <c r="M23" s="334"/>
      <c r="N23" s="334"/>
      <c r="O23" s="332">
        <f t="shared" si="6"/>
        <v>0</v>
      </c>
      <c r="P23" s="334"/>
      <c r="Q23" s="334"/>
      <c r="R23" s="334"/>
      <c r="S23" s="332">
        <f t="shared" si="7"/>
        <v>0</v>
      </c>
      <c r="T23" s="334">
        <f t="shared" si="1"/>
        <v>0</v>
      </c>
      <c r="U23" s="314">
        <f>проверка!C18</f>
        <v>206401</v>
      </c>
      <c r="V23" s="314">
        <f t="shared" si="3"/>
        <v>206401</v>
      </c>
    </row>
    <row r="24" spans="1:22" ht="15">
      <c r="A24" s="657"/>
      <c r="B24" s="354" t="s">
        <v>367</v>
      </c>
      <c r="C24" s="311">
        <v>290</v>
      </c>
      <c r="D24" s="334"/>
      <c r="E24" s="334"/>
      <c r="F24" s="334"/>
      <c r="G24" s="332">
        <f t="shared" si="4"/>
        <v>0</v>
      </c>
      <c r="H24" s="334"/>
      <c r="I24" s="334"/>
      <c r="J24" s="334"/>
      <c r="K24" s="332">
        <f t="shared" si="5"/>
        <v>0</v>
      </c>
      <c r="L24" s="334"/>
      <c r="M24" s="334"/>
      <c r="N24" s="334"/>
      <c r="O24" s="332">
        <f t="shared" si="6"/>
        <v>0</v>
      </c>
      <c r="P24" s="334"/>
      <c r="Q24" s="334"/>
      <c r="R24" s="334"/>
      <c r="S24" s="332">
        <f t="shared" si="7"/>
        <v>0</v>
      </c>
      <c r="T24" s="334">
        <f t="shared" si="1"/>
        <v>0</v>
      </c>
      <c r="U24" s="413">
        <f>'свод '!F157</f>
        <v>238547</v>
      </c>
      <c r="V24" s="414">
        <f t="shared" si="3"/>
        <v>238547</v>
      </c>
    </row>
    <row r="25" spans="1:22" ht="15">
      <c r="A25" s="657"/>
      <c r="B25" s="354" t="s">
        <v>189</v>
      </c>
      <c r="C25" s="311">
        <v>290</v>
      </c>
      <c r="D25" s="334"/>
      <c r="E25" s="334"/>
      <c r="F25" s="334"/>
      <c r="G25" s="332">
        <f t="shared" si="4"/>
        <v>0</v>
      </c>
      <c r="H25" s="334"/>
      <c r="I25" s="334"/>
      <c r="J25" s="334"/>
      <c r="K25" s="332">
        <f t="shared" si="5"/>
        <v>0</v>
      </c>
      <c r="L25" s="334"/>
      <c r="M25" s="334"/>
      <c r="N25" s="334"/>
      <c r="O25" s="332">
        <f t="shared" si="6"/>
        <v>0</v>
      </c>
      <c r="P25" s="334"/>
      <c r="Q25" s="334"/>
      <c r="R25" s="334"/>
      <c r="S25" s="332">
        <f t="shared" si="7"/>
        <v>0</v>
      </c>
      <c r="T25" s="334">
        <f t="shared" si="1"/>
        <v>0</v>
      </c>
      <c r="U25" s="321"/>
      <c r="V25" s="314"/>
    </row>
    <row r="26" spans="1:22" ht="15">
      <c r="A26" s="657"/>
      <c r="B26" s="310" t="s">
        <v>188</v>
      </c>
      <c r="C26" s="311">
        <v>340</v>
      </c>
      <c r="D26" s="334"/>
      <c r="E26" s="334"/>
      <c r="F26" s="334"/>
      <c r="G26" s="332">
        <f t="shared" si="4"/>
        <v>0</v>
      </c>
      <c r="H26" s="334"/>
      <c r="I26" s="334"/>
      <c r="J26" s="334"/>
      <c r="K26" s="332">
        <f t="shared" si="5"/>
        <v>0</v>
      </c>
      <c r="L26" s="334"/>
      <c r="M26" s="334"/>
      <c r="N26" s="334"/>
      <c r="O26" s="332">
        <f t="shared" si="6"/>
        <v>0</v>
      </c>
      <c r="P26" s="334"/>
      <c r="Q26" s="334"/>
      <c r="R26" s="334"/>
      <c r="S26" s="332">
        <f t="shared" si="7"/>
        <v>0</v>
      </c>
      <c r="T26" s="334">
        <f t="shared" si="1"/>
        <v>0</v>
      </c>
      <c r="U26" s="314">
        <f>проверка!C20</f>
        <v>290700</v>
      </c>
      <c r="V26" s="314">
        <f>U26-T26</f>
        <v>290700</v>
      </c>
    </row>
    <row r="27" spans="1:22" ht="15">
      <c r="A27" s="348"/>
      <c r="B27" s="307"/>
      <c r="C27" s="316"/>
      <c r="D27" s="330">
        <f>D19+D20+D21+D22+D23+D24+D25+D26</f>
        <v>0</v>
      </c>
      <c r="E27" s="330">
        <f>E19+E20+E21+E22+E23+E24+E25+E26</f>
        <v>0</v>
      </c>
      <c r="F27" s="330">
        <f>F19+F20+F21+F22+F23+F24+F25+F26</f>
        <v>0</v>
      </c>
      <c r="G27" s="330">
        <f>D27+E27+F27</f>
        <v>0</v>
      </c>
      <c r="H27" s="330">
        <f>H19+H20+H21+H22+H23+H24+H25+H26</f>
        <v>0</v>
      </c>
      <c r="I27" s="330">
        <f>I19+I20+I21+I22+I23+I24+I25+I26</f>
        <v>0</v>
      </c>
      <c r="J27" s="330">
        <f>J19+J20+J21+J22+J23+J24+J25+J26</f>
        <v>0</v>
      </c>
      <c r="K27" s="330">
        <f>H27+I27+J27</f>
        <v>0</v>
      </c>
      <c r="L27" s="330">
        <f>L19+L20+L21+L22+L23+L24+L25+L26</f>
        <v>0</v>
      </c>
      <c r="M27" s="330">
        <f>M19+M20+M21+M22+M23+M24+M25+M26</f>
        <v>0</v>
      </c>
      <c r="N27" s="330">
        <f>N19+N20+N21+N22+N23+N24+N25+N26</f>
        <v>0</v>
      </c>
      <c r="O27" s="330">
        <f>L27+M27+N27</f>
        <v>0</v>
      </c>
      <c r="P27" s="330">
        <f>P19+P20+P21+P22+P23+P24+P25+P26</f>
        <v>0</v>
      </c>
      <c r="Q27" s="330">
        <f>Q19+Q20+Q21+Q22+Q23+Q24+Q25+Q26</f>
        <v>0</v>
      </c>
      <c r="R27" s="330">
        <f>R19+R20+R21+R22+R23+R24+R25+R26</f>
        <v>0</v>
      </c>
      <c r="S27" s="330">
        <f>P27+Q27+R27</f>
        <v>0</v>
      </c>
      <c r="T27" s="330">
        <f t="shared" si="1"/>
        <v>0</v>
      </c>
      <c r="U27" s="314"/>
      <c r="V27" s="314"/>
    </row>
    <row r="28" spans="1:22" ht="14.25">
      <c r="A28" s="349"/>
      <c r="B28" s="350" t="s">
        <v>186</v>
      </c>
      <c r="C28" s="322"/>
      <c r="D28" s="351">
        <f aca="true" t="shared" si="8" ref="D28:S28">D29+D30</f>
        <v>0</v>
      </c>
      <c r="E28" s="351">
        <f t="shared" si="8"/>
        <v>0</v>
      </c>
      <c r="F28" s="351">
        <f t="shared" si="8"/>
        <v>0</v>
      </c>
      <c r="G28" s="351">
        <f t="shared" si="8"/>
        <v>0</v>
      </c>
      <c r="H28" s="351">
        <f t="shared" si="8"/>
        <v>0</v>
      </c>
      <c r="I28" s="351">
        <f t="shared" si="8"/>
        <v>0</v>
      </c>
      <c r="J28" s="351">
        <f t="shared" si="8"/>
        <v>0</v>
      </c>
      <c r="K28" s="351">
        <f t="shared" si="8"/>
        <v>0</v>
      </c>
      <c r="L28" s="351">
        <f t="shared" si="8"/>
        <v>0</v>
      </c>
      <c r="M28" s="351">
        <f t="shared" si="8"/>
        <v>0</v>
      </c>
      <c r="N28" s="351">
        <f t="shared" si="8"/>
        <v>0</v>
      </c>
      <c r="O28" s="351">
        <f t="shared" si="8"/>
        <v>0</v>
      </c>
      <c r="P28" s="351">
        <f t="shared" si="8"/>
        <v>0</v>
      </c>
      <c r="Q28" s="351">
        <f t="shared" si="8"/>
        <v>0</v>
      </c>
      <c r="R28" s="351">
        <f t="shared" si="8"/>
        <v>0</v>
      </c>
      <c r="S28" s="351">
        <f t="shared" si="8"/>
        <v>0</v>
      </c>
      <c r="T28" s="351">
        <f>G28+K28+O28+S28</f>
        <v>0</v>
      </c>
      <c r="U28" s="323"/>
      <c r="V28" s="323"/>
    </row>
    <row r="29" spans="2:22" ht="15">
      <c r="B29" s="311" t="s">
        <v>369</v>
      </c>
      <c r="C29" s="311"/>
      <c r="D29" s="449">
        <f>D5+D7+D10+D11</f>
        <v>0</v>
      </c>
      <c r="E29" s="449">
        <f>E5+E7+E10+E11</f>
        <v>0</v>
      </c>
      <c r="F29" s="449">
        <f>F5+F7+F10+F11</f>
        <v>0</v>
      </c>
      <c r="G29" s="449">
        <f>SUM(D29:F29)</f>
        <v>0</v>
      </c>
      <c r="H29" s="449">
        <f>H5+H7+H10+H11</f>
        <v>0</v>
      </c>
      <c r="I29" s="449">
        <f>I5+I7+I10+I11</f>
        <v>0</v>
      </c>
      <c r="J29" s="449">
        <f>J5+J7+J10+J11</f>
        <v>0</v>
      </c>
      <c r="K29" s="449">
        <f>SUM(H29:J29)</f>
        <v>0</v>
      </c>
      <c r="L29" s="449">
        <f>L5+L7+L10+L11</f>
        <v>0</v>
      </c>
      <c r="M29" s="449">
        <f>M5+M7+M10+M11</f>
        <v>0</v>
      </c>
      <c r="N29" s="449">
        <f>N5+N7+N10+N11</f>
        <v>0</v>
      </c>
      <c r="O29" s="449">
        <f>SUM(L29:N29)</f>
        <v>0</v>
      </c>
      <c r="P29" s="449">
        <f>P5+P7+P10+P11</f>
        <v>0</v>
      </c>
      <c r="Q29" s="449">
        <f>Q5+Q7+Q10+Q11</f>
        <v>0</v>
      </c>
      <c r="R29" s="449">
        <f>R5+R7+R10+R11</f>
        <v>0</v>
      </c>
      <c r="S29" s="449">
        <f>SUM(P29:R29)</f>
        <v>0</v>
      </c>
      <c r="T29" s="352">
        <f>G29+K29+O29+S29</f>
        <v>0</v>
      </c>
      <c r="U29" s="314">
        <f>'свод '!F20</f>
        <v>9071478.73</v>
      </c>
      <c r="V29" s="314">
        <f>U29-T29</f>
        <v>9071478.73</v>
      </c>
    </row>
    <row r="30" spans="2:22" ht="15.75">
      <c r="B30" s="326" t="s">
        <v>370</v>
      </c>
      <c r="C30" s="311"/>
      <c r="D30" s="455">
        <f>D6+D8</f>
        <v>0</v>
      </c>
      <c r="E30" s="455">
        <f>E6+E8</f>
        <v>0</v>
      </c>
      <c r="F30" s="455">
        <f>F6+F8</f>
        <v>0</v>
      </c>
      <c r="G30" s="455">
        <f>SUM(D30:F30)</f>
        <v>0</v>
      </c>
      <c r="H30" s="455">
        <f>H6+H8</f>
        <v>0</v>
      </c>
      <c r="I30" s="455">
        <f>I6+I8</f>
        <v>0</v>
      </c>
      <c r="J30" s="455">
        <f>J6+J8</f>
        <v>0</v>
      </c>
      <c r="K30" s="455">
        <f>SUM(H30:J30)</f>
        <v>0</v>
      </c>
      <c r="L30" s="455">
        <f>L6+L8</f>
        <v>0</v>
      </c>
      <c r="M30" s="455">
        <f>M6+M8</f>
        <v>0</v>
      </c>
      <c r="N30" s="455">
        <f>N6+N8</f>
        <v>0</v>
      </c>
      <c r="O30" s="455">
        <f>SUM(L30:N30)</f>
        <v>0</v>
      </c>
      <c r="P30" s="455">
        <f>P6+P8</f>
        <v>0</v>
      </c>
      <c r="Q30" s="455">
        <f>Q6+Q8</f>
        <v>0</v>
      </c>
      <c r="R30" s="455">
        <f>R6+R8</f>
        <v>0</v>
      </c>
      <c r="S30" s="455">
        <f>SUM(P30:R30)</f>
        <v>0</v>
      </c>
      <c r="T30" s="352">
        <f>G30+K30+O30+S30</f>
        <v>0</v>
      </c>
      <c r="U30" s="314">
        <f>'свод '!F38</f>
        <v>8871050.266242135</v>
      </c>
      <c r="V30" s="314">
        <f>U30-T30</f>
        <v>8871050.266242135</v>
      </c>
    </row>
    <row r="31" spans="1:22" ht="14.25">
      <c r="A31" s="324"/>
      <c r="B31" s="322" t="s">
        <v>187</v>
      </c>
      <c r="C31" s="322"/>
      <c r="D31" s="335">
        <f>D34+D33+D32</f>
        <v>0</v>
      </c>
      <c r="E31" s="335">
        <f>E34+E33+E32</f>
        <v>0</v>
      </c>
      <c r="F31" s="335">
        <f>F34+F33+F32</f>
        <v>0</v>
      </c>
      <c r="G31" s="335">
        <f>D31+E31+F31</f>
        <v>0</v>
      </c>
      <c r="H31" s="335">
        <f>H34+H33+H32</f>
        <v>0</v>
      </c>
      <c r="I31" s="335">
        <f>I34+I33+I32</f>
        <v>0</v>
      </c>
      <c r="J31" s="335">
        <f>J34+J33+J32</f>
        <v>0</v>
      </c>
      <c r="K31" s="335">
        <f>H31+I31+J31</f>
        <v>0</v>
      </c>
      <c r="L31" s="335">
        <f>L34+L33+L32</f>
        <v>0</v>
      </c>
      <c r="M31" s="335">
        <f>M34+M33+M32</f>
        <v>0</v>
      </c>
      <c r="N31" s="335">
        <f>N34+N33+N32</f>
        <v>0</v>
      </c>
      <c r="O31" s="335">
        <f>L31+M31+N31</f>
        <v>0</v>
      </c>
      <c r="P31" s="335">
        <f>P34+P33+P32</f>
        <v>0</v>
      </c>
      <c r="Q31" s="335">
        <f>Q34+Q33+Q32</f>
        <v>0</v>
      </c>
      <c r="R31" s="335">
        <f>R34+R33+R32</f>
        <v>0</v>
      </c>
      <c r="S31" s="335">
        <f>P31+Q31+R31</f>
        <v>0</v>
      </c>
      <c r="T31" s="335">
        <f>T34+T33</f>
        <v>0</v>
      </c>
      <c r="U31" s="323"/>
      <c r="V31" s="323"/>
    </row>
    <row r="32" spans="1:22" ht="15">
      <c r="A32" s="324"/>
      <c r="B32" s="311" t="s">
        <v>205</v>
      </c>
      <c r="C32" s="322"/>
      <c r="D32" s="452">
        <f>D14+D16</f>
        <v>0</v>
      </c>
      <c r="E32" s="452">
        <f>E14+E16</f>
        <v>0</v>
      </c>
      <c r="F32" s="452">
        <f>F14+F16</f>
        <v>0</v>
      </c>
      <c r="G32" s="452">
        <f>D32+E32+F32</f>
        <v>0</v>
      </c>
      <c r="H32" s="452">
        <f>H14+H16</f>
        <v>0</v>
      </c>
      <c r="I32" s="452">
        <f>I14+I16</f>
        <v>0</v>
      </c>
      <c r="J32" s="452">
        <f>J14+J16</f>
        <v>0</v>
      </c>
      <c r="K32" s="452">
        <f>H32+I32+J32</f>
        <v>0</v>
      </c>
      <c r="L32" s="452">
        <f>L14+L16</f>
        <v>0</v>
      </c>
      <c r="M32" s="452">
        <f>M14+M16</f>
        <v>0</v>
      </c>
      <c r="N32" s="452">
        <f>N14+N16</f>
        <v>0</v>
      </c>
      <c r="O32" s="452">
        <f>L32+M32+N32</f>
        <v>0</v>
      </c>
      <c r="P32" s="452">
        <f>P14+P16</f>
        <v>0</v>
      </c>
      <c r="Q32" s="452">
        <f>Q14+Q16</f>
        <v>0</v>
      </c>
      <c r="R32" s="452">
        <f>R14+R16</f>
        <v>0</v>
      </c>
      <c r="S32" s="452">
        <f>P32+Q32+R32</f>
        <v>0</v>
      </c>
      <c r="T32" s="336">
        <f>S32+O32+K32+G32</f>
        <v>0</v>
      </c>
      <c r="U32" s="323"/>
      <c r="V32" s="323"/>
    </row>
    <row r="33" spans="2:22" ht="15.75">
      <c r="B33" s="326" t="s">
        <v>370</v>
      </c>
      <c r="C33" s="311"/>
      <c r="D33" s="455">
        <f>D19+D20+D21+D22+D23+D25+D26</f>
        <v>0</v>
      </c>
      <c r="E33" s="455">
        <f>E19+E20+E21+E22+E23+E25+E26</f>
        <v>0</v>
      </c>
      <c r="F33" s="455">
        <f>F19+F20+F21+F22+F23+F25+F26</f>
        <v>0</v>
      </c>
      <c r="G33" s="455">
        <f>SUM(D33:F33)</f>
        <v>0</v>
      </c>
      <c r="H33" s="455">
        <f>H19+H20+H21+H22+H23+H25+H26</f>
        <v>0</v>
      </c>
      <c r="I33" s="455">
        <f>I19+I20+I21+I22+I23+I25+I26</f>
        <v>0</v>
      </c>
      <c r="J33" s="455">
        <f>J19+J20+J21+J22+J23+J25+J26</f>
        <v>0</v>
      </c>
      <c r="K33" s="455">
        <f>SUM(H33:J33)</f>
        <v>0</v>
      </c>
      <c r="L33" s="455">
        <f>L19+L20+L21+L22+L23+L25+L26</f>
        <v>0</v>
      </c>
      <c r="M33" s="455">
        <f>M19+M20+M21+M22+M23+M25+M26</f>
        <v>0</v>
      </c>
      <c r="N33" s="455">
        <f>N19+N20+N21+N22+N23+N25+N26</f>
        <v>0</v>
      </c>
      <c r="O33" s="455">
        <f>SUM(L33:N33)</f>
        <v>0</v>
      </c>
      <c r="P33" s="455">
        <f>P19+P20+P21+P22+P23+P25+P26</f>
        <v>0</v>
      </c>
      <c r="Q33" s="455">
        <f>Q19+Q20+Q21+Q22+Q23+Q25+Q26</f>
        <v>0</v>
      </c>
      <c r="R33" s="455">
        <f>R19+R20+R21+R22+R23+R25+R26</f>
        <v>0</v>
      </c>
      <c r="S33" s="455">
        <f>SUM(P33:R33)</f>
        <v>0</v>
      </c>
      <c r="T33" s="352">
        <f>S33+O33+K33+G33</f>
        <v>0</v>
      </c>
      <c r="U33" s="314">
        <f>'свод '!F146+'свод '!F117+'свод '!F103+'свод '!F75+'свод '!F46</f>
        <v>1329452</v>
      </c>
      <c r="V33" s="314">
        <f>U33-T33</f>
        <v>1329452</v>
      </c>
    </row>
    <row r="34" spans="2:22" ht="15">
      <c r="B34" s="311" t="s">
        <v>366</v>
      </c>
      <c r="C34" s="311"/>
      <c r="D34" s="337">
        <f>D24</f>
        <v>0</v>
      </c>
      <c r="E34" s="337">
        <f>E24</f>
        <v>0</v>
      </c>
      <c r="F34" s="337">
        <f>F24</f>
        <v>0</v>
      </c>
      <c r="G34" s="337">
        <f>SUM(D34:F34)</f>
        <v>0</v>
      </c>
      <c r="H34" s="337">
        <f>H24</f>
        <v>0</v>
      </c>
      <c r="I34" s="337">
        <f>I24</f>
        <v>0</v>
      </c>
      <c r="J34" s="337">
        <f>J24</f>
        <v>0</v>
      </c>
      <c r="K34" s="337">
        <f>SUM(H34:J34)</f>
        <v>0</v>
      </c>
      <c r="L34" s="337">
        <f>L24</f>
        <v>0</v>
      </c>
      <c r="M34" s="337">
        <f>M24</f>
        <v>0</v>
      </c>
      <c r="N34" s="337">
        <f>N24</f>
        <v>0</v>
      </c>
      <c r="O34" s="337">
        <f>SUM(L34:N34)</f>
        <v>0</v>
      </c>
      <c r="P34" s="337">
        <f>P24</f>
        <v>0</v>
      </c>
      <c r="Q34" s="337">
        <f>Q24</f>
        <v>0</v>
      </c>
      <c r="R34" s="337">
        <f>R24</f>
        <v>0</v>
      </c>
      <c r="S34" s="337">
        <f>SUM(P34:R34)</f>
        <v>0</v>
      </c>
      <c r="T34" s="352">
        <f>S34+O34+K34+G34</f>
        <v>0</v>
      </c>
      <c r="U34" s="314">
        <f>'свод '!F157</f>
        <v>238547</v>
      </c>
      <c r="V34" s="314">
        <f>U34-T34</f>
        <v>238547</v>
      </c>
    </row>
    <row r="35" spans="1:22" ht="15.75">
      <c r="A35" s="328"/>
      <c r="B35" s="326" t="s">
        <v>365</v>
      </c>
      <c r="C35" s="326"/>
      <c r="D35" s="338">
        <f>D34+D29+D33+D30</f>
        <v>0</v>
      </c>
      <c r="E35" s="338">
        <f>E34+E29+E33+E30</f>
        <v>0</v>
      </c>
      <c r="F35" s="338">
        <f>F34+F29+F33+F30</f>
        <v>0</v>
      </c>
      <c r="G35" s="338">
        <f>D35+E35+F35</f>
        <v>0</v>
      </c>
      <c r="H35" s="338">
        <f>H34+H29+H33+H30</f>
        <v>0</v>
      </c>
      <c r="I35" s="338">
        <f>I34+I29+I33+I30</f>
        <v>0</v>
      </c>
      <c r="J35" s="338">
        <f>J34+J29+J33+J30</f>
        <v>0</v>
      </c>
      <c r="K35" s="338">
        <f>H35+I35+J35</f>
        <v>0</v>
      </c>
      <c r="L35" s="338">
        <f>L34+L29+L33+L30</f>
        <v>0</v>
      </c>
      <c r="M35" s="338">
        <f>M34+M29+M33+M30</f>
        <v>0</v>
      </c>
      <c r="N35" s="338">
        <f>N34+N29+N33+N30</f>
        <v>0</v>
      </c>
      <c r="O35" s="338">
        <f>L35+M35+N35</f>
        <v>0</v>
      </c>
      <c r="P35" s="338">
        <f>P34+P29+P33+P30</f>
        <v>0</v>
      </c>
      <c r="Q35" s="338">
        <f>Q34+Q29+Q33+Q30</f>
        <v>0</v>
      </c>
      <c r="R35" s="338">
        <f>R34+R29+R33+R30</f>
        <v>0</v>
      </c>
      <c r="S35" s="338">
        <f>P35+Q35+R35</f>
        <v>0</v>
      </c>
      <c r="T35" s="353">
        <f>S35+O35+K35+G35</f>
        <v>0</v>
      </c>
      <c r="U35" s="327">
        <f>'свод '!F158</f>
        <v>20747145.996242136</v>
      </c>
      <c r="V35" s="314">
        <f>U35-T35</f>
        <v>20747145.996242136</v>
      </c>
    </row>
    <row r="38" spans="7:19" ht="15">
      <c r="G38" s="314">
        <f>G35-G37</f>
        <v>0</v>
      </c>
      <c r="K38" s="314">
        <f>K35-K37</f>
        <v>0</v>
      </c>
      <c r="O38" s="314">
        <f>O35-O37</f>
        <v>0</v>
      </c>
      <c r="S38" s="314">
        <f>S35-S37</f>
        <v>0</v>
      </c>
    </row>
    <row r="39" spans="4:19" ht="15"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</row>
    <row r="40" spans="3:15" ht="15">
      <c r="C40" s="329"/>
      <c r="G40" s="314"/>
      <c r="K40" s="314"/>
      <c r="O40" s="314">
        <f>G38+K38+O38</f>
        <v>0</v>
      </c>
    </row>
    <row r="41" spans="2:10" ht="15">
      <c r="B41" s="329" t="s">
        <v>353</v>
      </c>
      <c r="I41" s="712"/>
      <c r="J41" s="712"/>
    </row>
    <row r="43" spans="2:10" ht="15">
      <c r="B43" s="261" t="s">
        <v>338</v>
      </c>
      <c r="I43" s="712"/>
      <c r="J43" s="712"/>
    </row>
  </sheetData>
  <sheetProtection/>
  <mergeCells count="7">
    <mergeCell ref="A19:A26"/>
    <mergeCell ref="I41:J41"/>
    <mergeCell ref="I43:J43"/>
    <mergeCell ref="B1:T1"/>
    <mergeCell ref="C2:C3"/>
    <mergeCell ref="D2:S2"/>
    <mergeCell ref="A4:A1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61"/>
  <sheetViews>
    <sheetView view="pageBreakPreview" zoomScaleSheetLayoutView="100" zoomScalePageLayoutView="0" workbookViewId="0" topLeftCell="A1">
      <selection activeCell="A73" sqref="A73:B73"/>
    </sheetView>
  </sheetViews>
  <sheetFormatPr defaultColWidth="9.00390625" defaultRowHeight="12.75"/>
  <cols>
    <col min="1" max="1" width="9.125" style="392" customWidth="1"/>
    <col min="2" max="2" width="52.25390625" style="392" customWidth="1"/>
    <col min="3" max="3" width="15.875" style="392" customWidth="1"/>
    <col min="4" max="4" width="18.25390625" style="392" customWidth="1"/>
    <col min="5" max="7" width="16.25390625" style="392" customWidth="1"/>
    <col min="8" max="16" width="0" style="0" hidden="1" customWidth="1"/>
    <col min="17" max="17" width="19.375" style="0" customWidth="1"/>
    <col min="18" max="18" width="12.25390625" style="0" customWidth="1"/>
  </cols>
  <sheetData>
    <row r="1" ht="12.75">
      <c r="G1" s="393" t="s">
        <v>104</v>
      </c>
    </row>
    <row r="2" ht="12.75">
      <c r="G2" s="393" t="s">
        <v>381</v>
      </c>
    </row>
    <row r="3" ht="12.75">
      <c r="G3" s="393" t="s">
        <v>382</v>
      </c>
    </row>
    <row r="4" ht="12.75">
      <c r="G4" s="393" t="s">
        <v>383</v>
      </c>
    </row>
    <row r="5" ht="12.75">
      <c r="G5" s="393" t="s">
        <v>384</v>
      </c>
    </row>
    <row r="6" ht="12.75">
      <c r="G6" s="393" t="s">
        <v>385</v>
      </c>
    </row>
    <row r="7" ht="12.75">
      <c r="G7" s="393" t="s">
        <v>386</v>
      </c>
    </row>
    <row r="8" ht="12.75">
      <c r="G8" s="393" t="s">
        <v>387</v>
      </c>
    </row>
    <row r="9" ht="12.75">
      <c r="G9" s="393" t="s">
        <v>388</v>
      </c>
    </row>
    <row r="10" ht="12.75">
      <c r="G10" s="393" t="s">
        <v>389</v>
      </c>
    </row>
    <row r="11" spans="1:7" ht="15.75">
      <c r="A11" s="214"/>
      <c r="B11" s="215"/>
      <c r="C11" s="216" t="s">
        <v>105</v>
      </c>
      <c r="D11" s="215"/>
      <c r="E11" s="215"/>
      <c r="F11" s="215"/>
      <c r="G11" s="215"/>
    </row>
    <row r="12" spans="1:7" ht="15.75" customHeight="1">
      <c r="A12" s="214"/>
      <c r="B12" s="215"/>
      <c r="C12" s="216" t="s">
        <v>106</v>
      </c>
      <c r="D12" s="215"/>
      <c r="E12" s="215"/>
      <c r="F12" s="215"/>
      <c r="G12" s="215"/>
    </row>
    <row r="13" spans="1:7" ht="12.75">
      <c r="A13"/>
      <c r="B13"/>
      <c r="C13"/>
      <c r="D13"/>
      <c r="E13"/>
      <c r="F13"/>
      <c r="G13"/>
    </row>
    <row r="14" spans="1:7" ht="12.75">
      <c r="A14"/>
      <c r="B14"/>
      <c r="C14"/>
      <c r="D14"/>
      <c r="E14"/>
      <c r="F14"/>
      <c r="G14"/>
    </row>
    <row r="15" spans="1:7" ht="15.75">
      <c r="A15" s="218"/>
      <c r="B15" s="218"/>
      <c r="C15" s="218"/>
      <c r="D15" s="218"/>
      <c r="E15" s="218"/>
      <c r="F15" s="218"/>
      <c r="G15" s="218"/>
    </row>
    <row r="16" spans="1:7" ht="15.75">
      <c r="A16" s="214"/>
      <c r="B16" s="215"/>
      <c r="C16" s="216" t="s">
        <v>453</v>
      </c>
      <c r="D16" s="215"/>
      <c r="E16" s="215"/>
      <c r="F16" s="215"/>
      <c r="G16" s="215"/>
    </row>
    <row r="17" spans="1:7" ht="15.75">
      <c r="A17" s="214"/>
      <c r="B17" s="215"/>
      <c r="C17" s="216"/>
      <c r="D17" s="215"/>
      <c r="E17" s="215"/>
      <c r="F17" s="215"/>
      <c r="G17" s="215"/>
    </row>
    <row r="18" spans="1:7" ht="28.5" customHeight="1">
      <c r="A18" s="219" t="s">
        <v>108</v>
      </c>
      <c r="B18" s="220"/>
      <c r="C18" s="753" t="s">
        <v>452</v>
      </c>
      <c r="D18" s="753"/>
      <c r="E18" s="753"/>
      <c r="F18" s="753"/>
      <c r="G18" s="753"/>
    </row>
    <row r="19" spans="1:7" ht="12.75">
      <c r="A19" s="214"/>
      <c r="B19" s="222"/>
      <c r="C19" s="214"/>
      <c r="D19" s="214"/>
      <c r="E19" s="214"/>
      <c r="F19" s="214"/>
      <c r="G19" s="214"/>
    </row>
    <row r="20" spans="1:7" ht="12.75">
      <c r="A20" s="214"/>
      <c r="B20" s="222"/>
      <c r="C20" s="214"/>
      <c r="D20" s="214"/>
      <c r="E20" s="214"/>
      <c r="F20" s="214"/>
      <c r="G20" s="214"/>
    </row>
    <row r="21" spans="1:7" ht="15">
      <c r="A21" s="223" t="s">
        <v>109</v>
      </c>
      <c r="B21" s="223"/>
      <c r="C21" s="223"/>
      <c r="D21" s="223"/>
      <c r="E21" s="223"/>
      <c r="F21" s="223"/>
      <c r="G21" s="223"/>
    </row>
    <row r="22" spans="1:7" ht="15">
      <c r="A22" s="223" t="s">
        <v>110</v>
      </c>
      <c r="B22" s="223"/>
      <c r="C22" s="223"/>
      <c r="D22" s="223"/>
      <c r="E22" s="223"/>
      <c r="F22" s="223"/>
      <c r="G22" s="223"/>
    </row>
    <row r="24" spans="1:7" ht="38.25" customHeight="1">
      <c r="A24" s="580" t="s">
        <v>111</v>
      </c>
      <c r="B24" s="581"/>
      <c r="C24" s="227" t="s">
        <v>261</v>
      </c>
      <c r="D24" s="227" t="s">
        <v>112</v>
      </c>
      <c r="E24" s="752" t="s">
        <v>113</v>
      </c>
      <c r="F24" s="752"/>
      <c r="G24" s="752"/>
    </row>
    <row r="25" spans="1:7" ht="15" customHeight="1">
      <c r="A25"/>
      <c r="B25"/>
      <c r="C25"/>
      <c r="D25"/>
      <c r="E25"/>
      <c r="F25"/>
      <c r="G25"/>
    </row>
    <row r="26" spans="1:7" ht="24.75" customHeight="1">
      <c r="A26" s="734" t="s">
        <v>115</v>
      </c>
      <c r="B26" s="735"/>
      <c r="C26" s="229" t="s">
        <v>406</v>
      </c>
      <c r="D26" s="493">
        <f>G26+F26+E26</f>
        <v>0</v>
      </c>
      <c r="E26" s="247"/>
      <c r="F26" s="247"/>
      <c r="G26" s="247"/>
    </row>
    <row r="27" spans="1:7" ht="24.75" customHeight="1">
      <c r="A27" s="734" t="s">
        <v>116</v>
      </c>
      <c r="B27" s="735"/>
      <c r="C27" s="229" t="s">
        <v>406</v>
      </c>
      <c r="D27" s="493">
        <f>G27+F27+E27</f>
        <v>0</v>
      </c>
      <c r="E27" s="247"/>
      <c r="F27" s="247"/>
      <c r="G27" s="247"/>
    </row>
    <row r="28" spans="1:7" ht="24.75" customHeight="1">
      <c r="A28" s="734" t="s">
        <v>117</v>
      </c>
      <c r="B28" s="735"/>
      <c r="C28" s="229" t="s">
        <v>406</v>
      </c>
      <c r="D28" s="493">
        <f>G28+F28+E28</f>
        <v>0</v>
      </c>
      <c r="E28" s="247"/>
      <c r="F28" s="247"/>
      <c r="G28" s="247"/>
    </row>
    <row r="29" spans="1:7" ht="24.75" customHeight="1">
      <c r="A29" s="734" t="s">
        <v>118</v>
      </c>
      <c r="B29" s="735"/>
      <c r="C29" s="229" t="s">
        <v>406</v>
      </c>
      <c r="D29" s="493">
        <f>G29+F29+E29</f>
        <v>0</v>
      </c>
      <c r="E29" s="247"/>
      <c r="F29" s="247"/>
      <c r="G29" s="247"/>
    </row>
    <row r="30" spans="1:7" ht="24.75" customHeight="1">
      <c r="A30"/>
      <c r="B30"/>
      <c r="C30"/>
      <c r="D30" s="494"/>
      <c r="E30" s="492"/>
      <c r="F30" s="492"/>
      <c r="G30" s="492"/>
    </row>
    <row r="31" spans="1:7" ht="24.75" customHeight="1">
      <c r="A31" s="734" t="s">
        <v>120</v>
      </c>
      <c r="B31" s="735"/>
      <c r="C31" s="229" t="s">
        <v>406</v>
      </c>
      <c r="D31" s="493">
        <f>G31+F31+E31</f>
        <v>0</v>
      </c>
      <c r="E31" s="247">
        <f>E32</f>
        <v>0</v>
      </c>
      <c r="F31" s="247">
        <f>F32</f>
        <v>0</v>
      </c>
      <c r="G31" s="247">
        <f>G32</f>
        <v>0</v>
      </c>
    </row>
    <row r="32" spans="1:7" ht="24.75" customHeight="1">
      <c r="A32" s="734" t="s">
        <v>116</v>
      </c>
      <c r="B32" s="735"/>
      <c r="C32" s="229" t="s">
        <v>406</v>
      </c>
      <c r="D32" s="493">
        <f>G32+F32+E32</f>
        <v>0</v>
      </c>
      <c r="E32" s="247">
        <f>E27</f>
        <v>0</v>
      </c>
      <c r="F32" s="247">
        <f>F27</f>
        <v>0</v>
      </c>
      <c r="G32" s="247">
        <f>G27</f>
        <v>0</v>
      </c>
    </row>
    <row r="33" spans="1:7" ht="24.75" customHeight="1">
      <c r="A33" s="734" t="s">
        <v>117</v>
      </c>
      <c r="B33" s="735"/>
      <c r="C33" s="229" t="s">
        <v>406</v>
      </c>
      <c r="D33" s="493">
        <f>G33+F33+E33</f>
        <v>0</v>
      </c>
      <c r="E33" s="247">
        <f aca="true" t="shared" si="0" ref="E33:G34">E28</f>
        <v>0</v>
      </c>
      <c r="F33" s="247">
        <f t="shared" si="0"/>
        <v>0</v>
      </c>
      <c r="G33" s="247">
        <f t="shared" si="0"/>
        <v>0</v>
      </c>
    </row>
    <row r="34" spans="1:7" ht="24.75" customHeight="1">
      <c r="A34" s="734" t="s">
        <v>118</v>
      </c>
      <c r="B34" s="735"/>
      <c r="C34" s="229" t="s">
        <v>406</v>
      </c>
      <c r="D34" s="493">
        <f>G34+F34+E34</f>
        <v>0</v>
      </c>
      <c r="E34" s="247">
        <f t="shared" si="0"/>
        <v>0</v>
      </c>
      <c r="F34" s="247">
        <f t="shared" si="0"/>
        <v>0</v>
      </c>
      <c r="G34" s="247">
        <f t="shared" si="0"/>
        <v>0</v>
      </c>
    </row>
    <row r="35" ht="15" customHeight="1"/>
    <row r="36" ht="15" customHeight="1"/>
    <row r="38" spans="1:7" ht="15">
      <c r="A38" s="223" t="s">
        <v>121</v>
      </c>
      <c r="B38" s="223"/>
      <c r="C38" s="223"/>
      <c r="D38" s="223"/>
      <c r="E38" s="223"/>
      <c r="F38" s="223"/>
      <c r="G38" s="223"/>
    </row>
    <row r="40" spans="1:7" ht="26.25" customHeight="1">
      <c r="A40" s="580" t="s">
        <v>111</v>
      </c>
      <c r="B40" s="581"/>
      <c r="C40" s="580" t="s">
        <v>122</v>
      </c>
      <c r="D40" s="581"/>
      <c r="E40" s="752" t="s">
        <v>123</v>
      </c>
      <c r="F40" s="752"/>
      <c r="G40" s="752"/>
    </row>
    <row r="41" spans="1:7" ht="12.75">
      <c r="A41" s="751" t="s">
        <v>114</v>
      </c>
      <c r="B41" s="751"/>
      <c r="C41" s="751"/>
      <c r="D41" s="751"/>
      <c r="E41" s="751"/>
      <c r="F41" s="751"/>
      <c r="G41" s="751"/>
    </row>
    <row r="42" spans="1:18" ht="54.75" customHeight="1">
      <c r="A42" s="743" t="s">
        <v>124</v>
      </c>
      <c r="B42" s="744"/>
      <c r="C42" s="745">
        <f>C43+C48</f>
        <v>4442.005</v>
      </c>
      <c r="D42" s="746"/>
      <c r="E42" s="271">
        <f>E43+E48</f>
        <v>1404.697</v>
      </c>
      <c r="F42" s="271">
        <f>F43+F48</f>
        <v>1370.2930000000001</v>
      </c>
      <c r="G42" s="271">
        <f>G43+G48</f>
        <v>1667.015</v>
      </c>
      <c r="Q42">
        <v>25905.510069999997</v>
      </c>
      <c r="R42" s="430">
        <f>C42-Q42</f>
        <v>-21463.505069999996</v>
      </c>
    </row>
    <row r="43" spans="1:18" ht="54" customHeight="1">
      <c r="A43" s="736" t="s">
        <v>125</v>
      </c>
      <c r="B43" s="737"/>
      <c r="C43" s="740">
        <f>SUM(C44:D47)</f>
        <v>4380.418</v>
      </c>
      <c r="D43" s="741"/>
      <c r="E43" s="347">
        <f>SUM(E44:E47)</f>
        <v>1343.11</v>
      </c>
      <c r="F43" s="347">
        <f>SUM(F44:F47)</f>
        <v>1370.2930000000001</v>
      </c>
      <c r="G43" s="347">
        <f>SUM(G44:G47)</f>
        <v>1667.015</v>
      </c>
      <c r="Q43">
        <v>24410.818069999998</v>
      </c>
      <c r="R43" s="430">
        <f aca="true" t="shared" si="1" ref="R43:R57">C43-Q43</f>
        <v>-20030.400069999996</v>
      </c>
    </row>
    <row r="44" spans="1:18" ht="27.75" customHeight="1">
      <c r="A44" s="734" t="s">
        <v>214</v>
      </c>
      <c r="B44" s="735"/>
      <c r="C44" s="731">
        <f>E44+F44+G44</f>
        <v>0</v>
      </c>
      <c r="D44" s="732"/>
      <c r="E44" s="234">
        <f>'мун.задание'!J108/1000</f>
        <v>0</v>
      </c>
      <c r="F44" s="234">
        <f>'мун.задание'!K108/1000</f>
        <v>0</v>
      </c>
      <c r="G44" s="234">
        <f>'мун.задание'!L108/1000</f>
        <v>0</v>
      </c>
      <c r="Q44">
        <v>0</v>
      </c>
      <c r="R44" s="430">
        <f t="shared" si="1"/>
        <v>0</v>
      </c>
    </row>
    <row r="45" spans="1:18" ht="26.25" customHeight="1">
      <c r="A45" s="734" t="s">
        <v>215</v>
      </c>
      <c r="B45" s="735"/>
      <c r="C45" s="731">
        <f>E45+F45+G45</f>
        <v>1868.82838</v>
      </c>
      <c r="D45" s="732"/>
      <c r="E45" s="234">
        <f>'мун.задание'!J112/1000</f>
        <v>522.079</v>
      </c>
      <c r="F45" s="234">
        <f>'мун.задание'!K112/1000</f>
        <v>596.662</v>
      </c>
      <c r="G45" s="234">
        <f>'мун.задание'!L112/1000</f>
        <v>750.08738</v>
      </c>
      <c r="Q45">
        <v>12527.499781679999</v>
      </c>
      <c r="R45" s="430">
        <f t="shared" si="1"/>
        <v>-10658.67140168</v>
      </c>
    </row>
    <row r="46" spans="1:18" ht="18.75" customHeight="1">
      <c r="A46" s="734" t="s">
        <v>216</v>
      </c>
      <c r="B46" s="735"/>
      <c r="C46" s="731">
        <f>E46+F46+G46</f>
        <v>663.449</v>
      </c>
      <c r="D46" s="732"/>
      <c r="E46" s="234">
        <f>'мун.задание'!J110/1000</f>
        <v>303.551</v>
      </c>
      <c r="F46" s="234">
        <f>'мун.задание'!K110/1000</f>
        <v>182.226</v>
      </c>
      <c r="G46" s="234">
        <f>'мун.задание'!L110/1000</f>
        <v>177.672</v>
      </c>
      <c r="Q46">
        <v>2345.62407</v>
      </c>
      <c r="R46" s="430">
        <f t="shared" si="1"/>
        <v>-1682.1750699999998</v>
      </c>
    </row>
    <row r="47" spans="1:18" ht="25.5" customHeight="1">
      <c r="A47" s="734" t="s">
        <v>217</v>
      </c>
      <c r="B47" s="735"/>
      <c r="C47" s="731">
        <f>E47+F47+G47</f>
        <v>1848.1406200000001</v>
      </c>
      <c r="D47" s="732"/>
      <c r="E47" s="234">
        <f>'мун.задание'!J114/1000</f>
        <v>517.48</v>
      </c>
      <c r="F47" s="234">
        <f>'мун.задание'!K114/1000</f>
        <v>591.405</v>
      </c>
      <c r="G47" s="234">
        <f>'мун.задание'!L114/1000</f>
        <v>739.25562</v>
      </c>
      <c r="Q47">
        <v>9537.694218319999</v>
      </c>
      <c r="R47" s="430">
        <f t="shared" si="1"/>
        <v>-7689.553598319999</v>
      </c>
    </row>
    <row r="48" spans="1:18" ht="51.75" customHeight="1">
      <c r="A48" s="736" t="s">
        <v>127</v>
      </c>
      <c r="B48" s="737"/>
      <c r="C48" s="740">
        <f>C49</f>
        <v>61.587</v>
      </c>
      <c r="D48" s="741"/>
      <c r="E48" s="347">
        <f>E49</f>
        <v>61.587</v>
      </c>
      <c r="F48" s="347">
        <f>F49</f>
        <v>0</v>
      </c>
      <c r="G48" s="347">
        <f>G49</f>
        <v>0</v>
      </c>
      <c r="Q48">
        <v>1494.692</v>
      </c>
      <c r="R48" s="430">
        <f t="shared" si="1"/>
        <v>-1433.105</v>
      </c>
    </row>
    <row r="49" spans="1:18" ht="12.75">
      <c r="A49" s="734" t="s">
        <v>118</v>
      </c>
      <c r="B49" s="735"/>
      <c r="C49" s="731">
        <f>E49+F49+G49</f>
        <v>61.587</v>
      </c>
      <c r="D49" s="732"/>
      <c r="E49" s="234">
        <f>'мун.задание'!J128/1000</f>
        <v>61.587</v>
      </c>
      <c r="F49" s="234">
        <f>'мун.задание'!K128/1000</f>
        <v>0</v>
      </c>
      <c r="G49" s="234">
        <f>'мун.задание'!L128/1000</f>
        <v>0</v>
      </c>
      <c r="Q49">
        <v>1494.692</v>
      </c>
      <c r="R49" s="430">
        <f t="shared" si="1"/>
        <v>-1433.105</v>
      </c>
    </row>
    <row r="50" spans="1:18" ht="58.5" customHeight="1">
      <c r="A50" s="736" t="s">
        <v>128</v>
      </c>
      <c r="B50" s="737"/>
      <c r="C50" s="738">
        <f>SUM(C51:D58)</f>
        <v>0</v>
      </c>
      <c r="D50" s="739"/>
      <c r="E50" s="346">
        <f>SUM(E51:E58)</f>
        <v>0</v>
      </c>
      <c r="F50" s="346">
        <f>SUM(F51:F58)</f>
        <v>0</v>
      </c>
      <c r="G50" s="346">
        <f>SUM(G51:G58)</f>
        <v>0</v>
      </c>
      <c r="Q50">
        <v>863.04095</v>
      </c>
      <c r="R50" s="430">
        <f t="shared" si="1"/>
        <v>-863.04095</v>
      </c>
    </row>
    <row r="51" spans="1:18" ht="30" customHeight="1">
      <c r="A51" s="734" t="str">
        <f>'мун.задание'!A140</f>
        <v>Оптимизация и расширение сети дошкольных образовательных учреждений (предоставление дополнительных мест)</v>
      </c>
      <c r="B51" s="735"/>
      <c r="C51" s="731">
        <f aca="true" t="shared" si="2" ref="C51:C58">E51+F51+G51</f>
        <v>0</v>
      </c>
      <c r="D51" s="732"/>
      <c r="E51" s="234"/>
      <c r="F51" s="234"/>
      <c r="G51" s="234"/>
      <c r="Q51">
        <v>0</v>
      </c>
      <c r="R51" s="430">
        <f t="shared" si="1"/>
        <v>0</v>
      </c>
    </row>
    <row r="52" spans="1:18" ht="30.75" customHeight="1">
      <c r="A52" s="734" t="str">
        <f>'мун.задание'!A141</f>
        <v>Организация дотационного, бесплатного и льготного питания дошкольников</v>
      </c>
      <c r="B52" s="735"/>
      <c r="C52" s="731">
        <f t="shared" si="2"/>
        <v>0</v>
      </c>
      <c r="D52" s="732"/>
      <c r="E52" s="234"/>
      <c r="F52" s="234"/>
      <c r="G52" s="234"/>
      <c r="Q52">
        <v>755.079</v>
      </c>
      <c r="R52" s="430">
        <f t="shared" si="1"/>
        <v>-755.079</v>
      </c>
    </row>
    <row r="53" spans="1:18" ht="40.5" customHeight="1">
      <c r="A53" s="734" t="str">
        <f>'мун.задание'!A142</f>
        <v>Приведение зданий, сооружений и территории дошкольных образовательных учреждений в соответствие с современными требованиями и нормами</v>
      </c>
      <c r="B53" s="735"/>
      <c r="C53" s="731">
        <f t="shared" si="2"/>
        <v>0</v>
      </c>
      <c r="D53" s="732"/>
      <c r="E53" s="234"/>
      <c r="F53" s="234"/>
      <c r="G53" s="234"/>
      <c r="Q53">
        <v>107.96195</v>
      </c>
      <c r="R53" s="430">
        <f t="shared" si="1"/>
        <v>-107.96195</v>
      </c>
    </row>
    <row r="54" spans="1:18" ht="14.25" customHeight="1">
      <c r="A54" s="734"/>
      <c r="B54" s="735"/>
      <c r="C54" s="731">
        <f t="shared" si="2"/>
        <v>0</v>
      </c>
      <c r="D54" s="732"/>
      <c r="E54" s="234"/>
      <c r="F54" s="234"/>
      <c r="G54" s="234"/>
      <c r="Q54">
        <v>0</v>
      </c>
      <c r="R54" s="430">
        <f t="shared" si="1"/>
        <v>0</v>
      </c>
    </row>
    <row r="55" spans="1:18" ht="14.25" customHeight="1">
      <c r="A55" s="734"/>
      <c r="B55" s="735"/>
      <c r="C55" s="731">
        <f t="shared" si="2"/>
        <v>0</v>
      </c>
      <c r="D55" s="732"/>
      <c r="E55" s="234"/>
      <c r="F55" s="234"/>
      <c r="G55" s="234"/>
      <c r="Q55">
        <v>0</v>
      </c>
      <c r="R55" s="430">
        <f t="shared" si="1"/>
        <v>0</v>
      </c>
    </row>
    <row r="56" spans="1:18" ht="14.25" customHeight="1">
      <c r="A56" s="734"/>
      <c r="B56" s="735"/>
      <c r="C56" s="731">
        <f t="shared" si="2"/>
        <v>0</v>
      </c>
      <c r="D56" s="732"/>
      <c r="E56" s="234"/>
      <c r="F56" s="234"/>
      <c r="G56" s="234"/>
      <c r="Q56">
        <v>0</v>
      </c>
      <c r="R56" s="430">
        <f t="shared" si="1"/>
        <v>0</v>
      </c>
    </row>
    <row r="57" spans="1:18" ht="14.25" customHeight="1">
      <c r="A57" s="734"/>
      <c r="B57" s="735"/>
      <c r="C57" s="731">
        <f t="shared" si="2"/>
        <v>0</v>
      </c>
      <c r="D57" s="732"/>
      <c r="E57" s="234"/>
      <c r="F57" s="234"/>
      <c r="G57" s="234"/>
      <c r="Q57">
        <v>0</v>
      </c>
      <c r="R57" s="430">
        <f t="shared" si="1"/>
        <v>0</v>
      </c>
    </row>
    <row r="58" spans="1:18" ht="25.5" customHeight="1">
      <c r="A58" s="734"/>
      <c r="B58" s="735"/>
      <c r="C58" s="731">
        <f t="shared" si="2"/>
        <v>0</v>
      </c>
      <c r="D58" s="732"/>
      <c r="E58" s="234"/>
      <c r="F58" s="234"/>
      <c r="G58" s="234"/>
      <c r="Q58">
        <v>0</v>
      </c>
      <c r="R58" s="430"/>
    </row>
    <row r="59" spans="1:7" ht="12.75">
      <c r="A59" s="751" t="s">
        <v>119</v>
      </c>
      <c r="B59" s="751"/>
      <c r="C59" s="751"/>
      <c r="D59" s="751"/>
      <c r="E59" s="751"/>
      <c r="F59" s="751"/>
      <c r="G59" s="751"/>
    </row>
    <row r="60" spans="1:7" ht="55.5" customHeight="1">
      <c r="A60" s="743" t="s">
        <v>124</v>
      </c>
      <c r="B60" s="744"/>
      <c r="C60" s="745">
        <f>C61+C66</f>
        <v>0</v>
      </c>
      <c r="D60" s="746"/>
      <c r="E60" s="271">
        <f>E61+E66</f>
        <v>0</v>
      </c>
      <c r="F60" s="271">
        <f>F61+F66</f>
        <v>0</v>
      </c>
      <c r="G60" s="271">
        <f>G61+G66</f>
        <v>0</v>
      </c>
    </row>
    <row r="61" spans="1:7" ht="56.25" customHeight="1">
      <c r="A61" s="736" t="s">
        <v>125</v>
      </c>
      <c r="B61" s="737"/>
      <c r="C61" s="740">
        <f>SUM(C62:D65)</f>
        <v>0</v>
      </c>
      <c r="D61" s="741"/>
      <c r="E61" s="347">
        <f>SUM(E62:E65)</f>
        <v>0</v>
      </c>
      <c r="F61" s="347">
        <f>SUM(F62:F65)</f>
        <v>0</v>
      </c>
      <c r="G61" s="347">
        <f>SUM(G62:G65)</f>
        <v>0</v>
      </c>
    </row>
    <row r="62" spans="1:7" ht="24.75" customHeight="1">
      <c r="A62" s="734" t="s">
        <v>214</v>
      </c>
      <c r="B62" s="735"/>
      <c r="C62" s="731">
        <f>E62+F62+G62</f>
        <v>0</v>
      </c>
      <c r="D62" s="732"/>
      <c r="E62" s="234">
        <f>'касса 2014'!H32/1000</f>
        <v>0</v>
      </c>
      <c r="F62" s="234">
        <f>'касса 2014'!M32/1000</f>
        <v>0</v>
      </c>
      <c r="G62" s="234">
        <f>'касса 2014'!N32/1000</f>
        <v>0</v>
      </c>
    </row>
    <row r="63" spans="1:7" ht="25.5" customHeight="1">
      <c r="A63" s="734" t="s">
        <v>215</v>
      </c>
      <c r="B63" s="735"/>
      <c r="C63" s="731">
        <f>E63+F63+G63</f>
        <v>0</v>
      </c>
      <c r="D63" s="732"/>
      <c r="E63" s="234">
        <f>'касса 2014'!L29/1000</f>
        <v>0</v>
      </c>
      <c r="F63" s="234">
        <f>'касса 2014'!M29/1000</f>
        <v>0</v>
      </c>
      <c r="G63" s="234">
        <f>'касса 2014'!N29/1000</f>
        <v>0</v>
      </c>
    </row>
    <row r="64" spans="1:7" ht="21" customHeight="1">
      <c r="A64" s="734" t="s">
        <v>216</v>
      </c>
      <c r="B64" s="735"/>
      <c r="C64" s="731">
        <f>E64+F64+G64</f>
        <v>0</v>
      </c>
      <c r="D64" s="732"/>
      <c r="E64" s="234">
        <f>'касса 2014'!L33/1000</f>
        <v>0</v>
      </c>
      <c r="F64" s="234">
        <f>'касса 2014'!M33/1000</f>
        <v>0</v>
      </c>
      <c r="G64" s="234">
        <f>'касса 2014'!N33/1000</f>
        <v>0</v>
      </c>
    </row>
    <row r="65" spans="1:7" ht="25.5" customHeight="1">
      <c r="A65" s="734" t="s">
        <v>217</v>
      </c>
      <c r="B65" s="735"/>
      <c r="C65" s="731">
        <f>E65+F65+G65</f>
        <v>0</v>
      </c>
      <c r="D65" s="732"/>
      <c r="E65" s="234">
        <f>'касса 2014'!L30/1000</f>
        <v>0</v>
      </c>
      <c r="F65" s="234">
        <f>'касса 2014'!M30/1000</f>
        <v>0</v>
      </c>
      <c r="G65" s="234">
        <f>'касса 2014'!N30/1000</f>
        <v>0</v>
      </c>
    </row>
    <row r="66" spans="1:7" ht="12.75">
      <c r="A66" s="736" t="s">
        <v>127</v>
      </c>
      <c r="B66" s="737"/>
      <c r="C66" s="740">
        <f>C67</f>
        <v>0</v>
      </c>
      <c r="D66" s="741"/>
      <c r="E66" s="347">
        <f>E67</f>
        <v>0</v>
      </c>
      <c r="F66" s="347">
        <f>F67</f>
        <v>0</v>
      </c>
      <c r="G66" s="347">
        <f>G67</f>
        <v>0</v>
      </c>
    </row>
    <row r="67" spans="1:7" ht="12.75">
      <c r="A67" s="734" t="s">
        <v>118</v>
      </c>
      <c r="B67" s="735"/>
      <c r="C67" s="731">
        <f>E67+F67+G67</f>
        <v>0</v>
      </c>
      <c r="D67" s="732"/>
      <c r="E67" s="234">
        <f>'касса 2014'!L34/1000</f>
        <v>0</v>
      </c>
      <c r="F67" s="234">
        <f>'касса 2014'!M34/1000</f>
        <v>0</v>
      </c>
      <c r="G67" s="234">
        <f>'касса 2014'!J34/1000</f>
        <v>0</v>
      </c>
    </row>
    <row r="68" spans="1:7" ht="51" customHeight="1">
      <c r="A68" s="736" t="s">
        <v>128</v>
      </c>
      <c r="B68" s="737"/>
      <c r="C68" s="738">
        <f>C69+C70+C71+C76</f>
        <v>0</v>
      </c>
      <c r="D68" s="739"/>
      <c r="E68" s="346">
        <f>SUM(E69:E76)</f>
        <v>0</v>
      </c>
      <c r="F68" s="346">
        <f>SUM(F69:F76)</f>
        <v>0</v>
      </c>
      <c r="G68" s="346">
        <f>SUM(G69:G76)</f>
        <v>0</v>
      </c>
    </row>
    <row r="69" spans="1:7" ht="34.5" customHeight="1">
      <c r="A69" s="734" t="str">
        <f>A51</f>
        <v>Оптимизация и расширение сети дошкольных образовательных учреждений (предоставление дополнительных мест)</v>
      </c>
      <c r="B69" s="735"/>
      <c r="C69" s="731">
        <f>E69+F69+G69</f>
        <v>0</v>
      </c>
      <c r="D69" s="732"/>
      <c r="E69" s="234"/>
      <c r="F69" s="234"/>
      <c r="G69" s="234"/>
    </row>
    <row r="70" spans="1:7" ht="31.5" customHeight="1">
      <c r="A70" s="734" t="str">
        <f>A52</f>
        <v>Организация дотационного, бесплатного и льготного питания дошкольников</v>
      </c>
      <c r="B70" s="735"/>
      <c r="C70" s="731">
        <f aca="true" t="shared" si="3" ref="C70:C76">E70+F70+G70</f>
        <v>0</v>
      </c>
      <c r="D70" s="732"/>
      <c r="E70" s="234"/>
      <c r="F70" s="234"/>
      <c r="G70" s="234"/>
    </row>
    <row r="71" spans="1:7" ht="28.5" customHeight="1">
      <c r="A71" s="734" t="str">
        <f>A53</f>
        <v>Приведение зданий, сооружений и территории дошкольных образовательных учреждений в соответствие с современными требованиями и нормами</v>
      </c>
      <c r="B71" s="735"/>
      <c r="C71" s="731">
        <f t="shared" si="3"/>
        <v>0</v>
      </c>
      <c r="D71" s="732"/>
      <c r="E71" s="234"/>
      <c r="F71" s="234"/>
      <c r="G71" s="234"/>
    </row>
    <row r="72" spans="1:7" ht="14.25" customHeight="1">
      <c r="A72" s="734"/>
      <c r="B72" s="735"/>
      <c r="C72" s="731">
        <f t="shared" si="3"/>
        <v>0</v>
      </c>
      <c r="D72" s="732"/>
      <c r="E72" s="234"/>
      <c r="F72" s="234"/>
      <c r="G72" s="234"/>
    </row>
    <row r="73" spans="1:7" ht="14.25" customHeight="1">
      <c r="A73" s="734"/>
      <c r="B73" s="735"/>
      <c r="C73" s="731">
        <f t="shared" si="3"/>
        <v>0</v>
      </c>
      <c r="D73" s="732"/>
      <c r="E73" s="234"/>
      <c r="F73" s="234"/>
      <c r="G73" s="234"/>
    </row>
    <row r="74" spans="1:7" ht="14.25" customHeight="1">
      <c r="A74" s="734"/>
      <c r="B74" s="735"/>
      <c r="C74" s="731">
        <f t="shared" si="3"/>
        <v>0</v>
      </c>
      <c r="D74" s="732"/>
      <c r="E74" s="234"/>
      <c r="F74" s="234"/>
      <c r="G74" s="234"/>
    </row>
    <row r="75" spans="1:7" ht="14.25" customHeight="1">
      <c r="A75" s="734"/>
      <c r="B75" s="735"/>
      <c r="C75" s="731">
        <f t="shared" si="3"/>
        <v>0</v>
      </c>
      <c r="D75" s="732"/>
      <c r="E75" s="234"/>
      <c r="F75" s="234"/>
      <c r="G75" s="234"/>
    </row>
    <row r="76" spans="1:7" ht="14.25" customHeight="1">
      <c r="A76" s="734"/>
      <c r="B76" s="735"/>
      <c r="C76" s="731">
        <f t="shared" si="3"/>
        <v>0</v>
      </c>
      <c r="D76" s="732"/>
      <c r="E76" s="234"/>
      <c r="F76" s="234"/>
      <c r="G76" s="234"/>
    </row>
    <row r="79" spans="1:7" ht="15">
      <c r="A79" s="223" t="s">
        <v>131</v>
      </c>
      <c r="B79" s="223"/>
      <c r="C79" s="223"/>
      <c r="D79" s="243"/>
      <c r="E79" s="243"/>
      <c r="F79" s="243"/>
      <c r="G79" s="243"/>
    </row>
    <row r="80" spans="1:7" ht="15">
      <c r="A80" s="223"/>
      <c r="B80" s="223"/>
      <c r="C80" s="223"/>
      <c r="D80" s="243"/>
      <c r="E80" s="243"/>
      <c r="F80" s="243"/>
      <c r="G80" s="243"/>
    </row>
    <row r="81" spans="1:7" ht="15">
      <c r="A81" s="223" t="s">
        <v>132</v>
      </c>
      <c r="B81" s="223"/>
      <c r="C81" s="223"/>
      <c r="D81" s="223"/>
      <c r="E81" s="223"/>
      <c r="F81" s="223"/>
      <c r="G81" s="223"/>
    </row>
    <row r="82" spans="1:7" ht="12.75">
      <c r="A82" s="214"/>
      <c r="B82" s="214"/>
      <c r="C82" s="214"/>
      <c r="D82" s="214"/>
      <c r="E82" s="214"/>
      <c r="F82" s="214"/>
      <c r="G82" s="214"/>
    </row>
    <row r="83" spans="1:7" ht="12.75">
      <c r="A83" s="726" t="s">
        <v>133</v>
      </c>
      <c r="B83" s="726" t="s">
        <v>102</v>
      </c>
      <c r="C83" s="727" t="s">
        <v>134</v>
      </c>
      <c r="D83" s="728"/>
      <c r="E83" s="245"/>
      <c r="F83" s="717" t="s">
        <v>135</v>
      </c>
      <c r="G83" s="718"/>
    </row>
    <row r="84" spans="1:7" ht="12.75">
      <c r="A84" s="726"/>
      <c r="B84" s="726"/>
      <c r="C84" s="729"/>
      <c r="D84" s="730"/>
      <c r="E84" s="246"/>
      <c r="F84" s="719"/>
      <c r="G84" s="720"/>
    </row>
    <row r="85" spans="1:7" ht="12.75">
      <c r="A85" s="247"/>
      <c r="B85" s="248"/>
      <c r="C85" s="590"/>
      <c r="D85" s="591"/>
      <c r="E85" s="228" t="s">
        <v>136</v>
      </c>
      <c r="F85" s="715" t="s">
        <v>136</v>
      </c>
      <c r="G85" s="716"/>
    </row>
    <row r="86" spans="1:7" ht="12.75">
      <c r="A86" s="247"/>
      <c r="B86" s="248"/>
      <c r="C86" s="590"/>
      <c r="D86" s="591"/>
      <c r="E86" s="228"/>
      <c r="F86" s="715"/>
      <c r="G86" s="716"/>
    </row>
    <row r="87" spans="1:7" ht="12.75">
      <c r="A87" s="247"/>
      <c r="B87" s="248"/>
      <c r="C87" s="590"/>
      <c r="D87" s="591"/>
      <c r="E87" s="228"/>
      <c r="F87" s="715"/>
      <c r="G87" s="716"/>
    </row>
    <row r="88" ht="15">
      <c r="F88" s="394"/>
    </row>
    <row r="89" ht="15">
      <c r="F89" s="394"/>
    </row>
    <row r="90" spans="1:7" ht="15">
      <c r="A90" s="223" t="s">
        <v>137</v>
      </c>
      <c r="B90" s="223"/>
      <c r="C90" s="223"/>
      <c r="D90" s="223"/>
      <c r="E90" s="223"/>
      <c r="F90" s="244"/>
      <c r="G90" s="223"/>
    </row>
    <row r="91" ht="15">
      <c r="F91" s="394"/>
    </row>
    <row r="92" spans="1:7" ht="12.75">
      <c r="A92" s="726" t="s">
        <v>133</v>
      </c>
      <c r="B92" s="726" t="s">
        <v>102</v>
      </c>
      <c r="C92" s="727" t="s">
        <v>138</v>
      </c>
      <c r="D92" s="728"/>
      <c r="E92" s="245"/>
      <c r="F92" s="717" t="s">
        <v>139</v>
      </c>
      <c r="G92" s="718"/>
    </row>
    <row r="93" spans="1:7" ht="12.75">
      <c r="A93" s="726"/>
      <c r="B93" s="726"/>
      <c r="C93" s="729"/>
      <c r="D93" s="730"/>
      <c r="E93" s="246"/>
      <c r="F93" s="719"/>
      <c r="G93" s="720"/>
    </row>
    <row r="94" spans="1:7" ht="12.75">
      <c r="A94" s="247"/>
      <c r="B94" s="248"/>
      <c r="C94" s="590"/>
      <c r="D94" s="591"/>
      <c r="E94" s="228" t="s">
        <v>136</v>
      </c>
      <c r="F94" s="715" t="s">
        <v>136</v>
      </c>
      <c r="G94" s="716"/>
    </row>
    <row r="95" spans="1:7" ht="12.75">
      <c r="A95" s="247"/>
      <c r="B95" s="248"/>
      <c r="C95" s="590"/>
      <c r="D95" s="591"/>
      <c r="E95" s="228"/>
      <c r="F95" s="715"/>
      <c r="G95" s="716"/>
    </row>
    <row r="96" spans="1:7" ht="12.75">
      <c r="A96" s="247"/>
      <c r="B96" s="248"/>
      <c r="C96" s="590"/>
      <c r="D96" s="591"/>
      <c r="E96" s="228"/>
      <c r="F96" s="715"/>
      <c r="G96" s="716"/>
    </row>
    <row r="97" spans="4:7" ht="12.75">
      <c r="D97" s="395"/>
      <c r="E97" s="395"/>
      <c r="F97" s="395"/>
      <c r="G97" s="395"/>
    </row>
    <row r="99" spans="1:6" s="460" customFormat="1" ht="15">
      <c r="A99" s="457" t="s">
        <v>140</v>
      </c>
      <c r="B99" s="458"/>
      <c r="C99" s="458"/>
      <c r="D99" s="458"/>
      <c r="E99" s="459"/>
      <c r="F99" s="458"/>
    </row>
    <row r="100" spans="1:6" s="460" customFormat="1" ht="15">
      <c r="A100" s="461"/>
      <c r="B100" s="461"/>
      <c r="C100" s="461"/>
      <c r="D100" s="461"/>
      <c r="E100" s="459"/>
      <c r="F100" s="461"/>
    </row>
    <row r="101" spans="1:6" s="460" customFormat="1" ht="15" customHeight="1">
      <c r="A101" s="755" t="s">
        <v>133</v>
      </c>
      <c r="B101" s="755" t="s">
        <v>141</v>
      </c>
      <c r="C101" s="755" t="s">
        <v>52</v>
      </c>
      <c r="D101" s="755" t="s">
        <v>53</v>
      </c>
      <c r="E101" s="757" t="s">
        <v>54</v>
      </c>
      <c r="F101" s="759" t="s">
        <v>142</v>
      </c>
    </row>
    <row r="102" spans="1:6" s="460" customFormat="1" ht="26.25" customHeight="1">
      <c r="A102" s="756"/>
      <c r="B102" s="756"/>
      <c r="C102" s="756"/>
      <c r="D102" s="756"/>
      <c r="E102" s="758"/>
      <c r="F102" s="760"/>
    </row>
    <row r="103" spans="1:6" s="460" customFormat="1" ht="36" customHeight="1">
      <c r="A103" s="761" t="s">
        <v>107</v>
      </c>
      <c r="B103" s="761"/>
      <c r="C103" s="761"/>
      <c r="D103" s="761"/>
      <c r="E103" s="761"/>
      <c r="F103" s="761"/>
    </row>
    <row r="104" spans="1:6" s="460" customFormat="1" ht="25.5">
      <c r="A104" s="444">
        <v>1</v>
      </c>
      <c r="B104" s="462" t="s">
        <v>208</v>
      </c>
      <c r="C104" s="462"/>
      <c r="D104" s="444" t="s">
        <v>68</v>
      </c>
      <c r="E104" s="463"/>
      <c r="F104" s="464"/>
    </row>
    <row r="105" spans="1:6" s="460" customFormat="1" ht="51">
      <c r="A105" s="465">
        <v>2</v>
      </c>
      <c r="B105" s="466" t="s">
        <v>60</v>
      </c>
      <c r="C105" s="467"/>
      <c r="D105" s="468" t="s">
        <v>143</v>
      </c>
      <c r="E105" s="469"/>
      <c r="F105" s="468"/>
    </row>
    <row r="106" spans="1:6" s="460" customFormat="1" ht="25.5">
      <c r="A106" s="465">
        <v>3</v>
      </c>
      <c r="B106" s="462" t="s">
        <v>69</v>
      </c>
      <c r="C106" s="467"/>
      <c r="D106" s="468" t="s">
        <v>70</v>
      </c>
      <c r="E106" s="469"/>
      <c r="F106" s="468"/>
    </row>
    <row r="107" spans="1:6" s="460" customFormat="1" ht="25.5">
      <c r="A107" s="465">
        <v>4</v>
      </c>
      <c r="B107" s="462" t="s">
        <v>209</v>
      </c>
      <c r="C107" s="467"/>
      <c r="D107" s="468" t="s">
        <v>72</v>
      </c>
      <c r="E107" s="469"/>
      <c r="F107" s="468"/>
    </row>
    <row r="108" spans="1:6" s="460" customFormat="1" ht="15">
      <c r="A108" s="465">
        <v>5</v>
      </c>
      <c r="B108" s="462" t="s">
        <v>61</v>
      </c>
      <c r="C108" s="467"/>
      <c r="D108" s="444" t="s">
        <v>62</v>
      </c>
      <c r="E108" s="469"/>
      <c r="F108" s="444"/>
    </row>
    <row r="109" spans="1:6" s="460" customFormat="1" ht="38.25">
      <c r="A109" s="465">
        <v>6</v>
      </c>
      <c r="B109" s="462" t="s">
        <v>63</v>
      </c>
      <c r="C109" s="467"/>
      <c r="D109" s="444" t="s">
        <v>64</v>
      </c>
      <c r="E109" s="469"/>
      <c r="F109" s="465"/>
    </row>
    <row r="110" spans="1:6" s="460" customFormat="1" ht="25.5">
      <c r="A110" s="465">
        <v>7</v>
      </c>
      <c r="B110" s="462" t="s">
        <v>210</v>
      </c>
      <c r="C110" s="467"/>
      <c r="D110" s="470" t="s">
        <v>65</v>
      </c>
      <c r="E110" s="469"/>
      <c r="F110" s="465"/>
    </row>
    <row r="111" spans="1:6" s="460" customFormat="1" ht="25.5">
      <c r="A111" s="465">
        <v>8</v>
      </c>
      <c r="B111" s="462" t="s">
        <v>211</v>
      </c>
      <c r="C111" s="467"/>
      <c r="D111" s="444" t="s">
        <v>68</v>
      </c>
      <c r="E111" s="469"/>
      <c r="F111" s="471"/>
    </row>
    <row r="112" spans="1:5" ht="12.75" hidden="1">
      <c r="A112" s="426"/>
      <c r="B112" s="427"/>
      <c r="C112" s="428"/>
      <c r="D112" s="429"/>
      <c r="E112" s="429"/>
    </row>
    <row r="113" spans="1:5" ht="12.75" hidden="1">
      <c r="A113" s="426"/>
      <c r="B113" s="427"/>
      <c r="C113" s="428"/>
      <c r="D113" s="429"/>
      <c r="E113" s="429"/>
    </row>
    <row r="114" spans="1:6" ht="12.75" hidden="1">
      <c r="A114" s="397"/>
      <c r="B114" s="398"/>
      <c r="C114" s="399"/>
      <c r="D114" s="399"/>
      <c r="E114" s="399"/>
      <c r="F114" s="399"/>
    </row>
    <row r="115" spans="1:6" ht="12.75" hidden="1">
      <c r="A115" s="397"/>
      <c r="B115" s="398"/>
      <c r="C115" s="399"/>
      <c r="D115" s="399"/>
      <c r="E115" s="399"/>
      <c r="F115" s="399"/>
    </row>
    <row r="116" spans="1:6" ht="12.75" hidden="1">
      <c r="A116" s="397" t="s">
        <v>307</v>
      </c>
      <c r="B116" s="398"/>
      <c r="C116" s="399"/>
      <c r="D116" s="399"/>
      <c r="E116" s="399"/>
      <c r="F116" s="399"/>
    </row>
    <row r="117" spans="1:7" ht="15">
      <c r="A117" s="223" t="s">
        <v>144</v>
      </c>
      <c r="B117" s="223"/>
      <c r="C117" s="223"/>
      <c r="D117" s="223"/>
      <c r="E117" s="223"/>
      <c r="F117" s="223"/>
      <c r="G117" s="223"/>
    </row>
    <row r="119" spans="1:7" ht="51">
      <c r="A119" s="590" t="s">
        <v>145</v>
      </c>
      <c r="B119" s="591"/>
      <c r="C119" s="227" t="s">
        <v>78</v>
      </c>
      <c r="D119" s="225" t="s">
        <v>146</v>
      </c>
      <c r="E119" s="227" t="s">
        <v>147</v>
      </c>
      <c r="F119" s="214"/>
      <c r="G119" s="214"/>
    </row>
    <row r="120" spans="1:7" ht="12.75">
      <c r="A120" s="597" t="s">
        <v>107</v>
      </c>
      <c r="B120" s="598"/>
      <c r="C120" s="227" t="s">
        <v>454</v>
      </c>
      <c r="D120" s="272">
        <f>C60+C68</f>
        <v>0</v>
      </c>
      <c r="E120" s="493">
        <f>D31</f>
        <v>0</v>
      </c>
      <c r="F120" s="214"/>
      <c r="G120" s="214"/>
    </row>
    <row r="122" spans="1:7" ht="15.75" thickBot="1">
      <c r="A122" s="391"/>
      <c r="B122" s="391"/>
      <c r="C122" s="391"/>
      <c r="D122" s="391"/>
      <c r="E122" s="391"/>
      <c r="F122" s="391"/>
      <c r="G122" s="391"/>
    </row>
    <row r="123" spans="1:7" ht="15">
      <c r="A123" s="400" t="s">
        <v>22</v>
      </c>
      <c r="B123" s="401" t="s">
        <v>148</v>
      </c>
      <c r="C123" s="391"/>
      <c r="D123" s="391"/>
      <c r="E123" s="391"/>
      <c r="F123" s="391"/>
      <c r="G123" s="391"/>
    </row>
    <row r="124" spans="1:7" ht="15">
      <c r="A124" s="223" t="s">
        <v>149</v>
      </c>
      <c r="B124" s="214"/>
      <c r="C124" s="214"/>
      <c r="D124" s="214"/>
      <c r="E124" s="214"/>
      <c r="F124" s="214"/>
      <c r="G124" s="214"/>
    </row>
    <row r="125" spans="1:7" ht="15">
      <c r="A125" s="223"/>
      <c r="B125" s="214"/>
      <c r="C125" s="214"/>
      <c r="D125" s="214"/>
      <c r="E125" s="214"/>
      <c r="F125" s="214"/>
      <c r="G125" s="214"/>
    </row>
    <row r="126" spans="1:17" s="396" customFormat="1" ht="17.25" customHeight="1">
      <c r="A126" s="725" t="s">
        <v>150</v>
      </c>
      <c r="B126" s="725"/>
      <c r="C126" s="725"/>
      <c r="D126" s="725"/>
      <c r="E126" s="725"/>
      <c r="F126" s="725"/>
      <c r="G126" s="725"/>
      <c r="H126" s="725"/>
      <c r="I126" s="725"/>
      <c r="J126" s="725"/>
      <c r="K126" s="725"/>
      <c r="L126" s="725"/>
      <c r="M126" s="725"/>
      <c r="N126" s="725"/>
      <c r="O126" s="725"/>
      <c r="Q126" s="437"/>
    </row>
    <row r="127" s="392" customFormat="1" ht="12.75">
      <c r="Q127" s="403"/>
    </row>
    <row r="128" spans="1:7" s="392" customFormat="1" ht="12.75">
      <c r="A128" s="754"/>
      <c r="B128" s="754"/>
      <c r="C128" s="754"/>
      <c r="D128" s="754"/>
      <c r="E128" s="402"/>
      <c r="G128" s="403"/>
    </row>
    <row r="129" spans="1:7" s="392" customFormat="1" ht="17.25" customHeight="1">
      <c r="A129" s="438"/>
      <c r="B129" s="439"/>
      <c r="C129" s="438"/>
      <c r="D129" s="404"/>
      <c r="E129" s="404"/>
      <c r="G129" s="403"/>
    </row>
    <row r="130" spans="1:7" s="392" customFormat="1" ht="17.25" customHeight="1">
      <c r="A130" s="404"/>
      <c r="B130" s="404"/>
      <c r="C130" s="404"/>
      <c r="D130" s="404"/>
      <c r="E130" s="404"/>
      <c r="G130" s="403"/>
    </row>
    <row r="131" spans="1:7" s="392" customFormat="1" ht="12.75">
      <c r="A131" s="399"/>
      <c r="B131" s="399"/>
      <c r="C131" s="399"/>
      <c r="D131" s="399"/>
      <c r="E131" s="399"/>
      <c r="G131" s="403"/>
    </row>
    <row r="132" s="392" customFormat="1" ht="12.75" hidden="1">
      <c r="Q132" s="403"/>
    </row>
    <row r="133" s="392" customFormat="1" ht="12.75">
      <c r="Q133" s="403"/>
    </row>
    <row r="134" spans="1:17" s="214" customFormat="1" ht="36" customHeight="1">
      <c r="A134" s="725" t="s">
        <v>151</v>
      </c>
      <c r="B134" s="725"/>
      <c r="C134" s="725"/>
      <c r="D134" s="725"/>
      <c r="E134" s="725"/>
      <c r="F134" s="725"/>
      <c r="G134" s="725"/>
      <c r="H134" s="725"/>
      <c r="I134" s="725"/>
      <c r="J134" s="725"/>
      <c r="K134" s="725"/>
      <c r="L134" s="725"/>
      <c r="M134" s="725"/>
      <c r="N134" s="725"/>
      <c r="O134" s="725"/>
      <c r="Q134" s="217"/>
    </row>
    <row r="135" s="392" customFormat="1" ht="12.75">
      <c r="Q135" s="403"/>
    </row>
    <row r="136" spans="1:7" s="392" customFormat="1" ht="12.75">
      <c r="A136" s="402"/>
      <c r="B136" s="402"/>
      <c r="C136" s="402"/>
      <c r="D136" s="402"/>
      <c r="E136" s="402"/>
      <c r="F136" s="402"/>
      <c r="G136" s="403"/>
    </row>
    <row r="137" spans="1:7" s="392" customFormat="1" ht="17.25" customHeight="1">
      <c r="A137" s="438"/>
      <c r="B137" s="438"/>
      <c r="C137" s="438"/>
      <c r="D137" s="438"/>
      <c r="E137" s="438"/>
      <c r="F137" s="440"/>
      <c r="G137" s="403"/>
    </row>
    <row r="138" spans="1:7" s="392" customFormat="1" ht="15.75" customHeight="1">
      <c r="A138" s="404"/>
      <c r="B138" s="404"/>
      <c r="C138" s="404"/>
      <c r="D138" s="404"/>
      <c r="E138" s="404"/>
      <c r="G138" s="403"/>
    </row>
    <row r="139" spans="1:7" s="392" customFormat="1" ht="12.75">
      <c r="A139" s="399"/>
      <c r="B139" s="399"/>
      <c r="C139" s="399"/>
      <c r="D139" s="399"/>
      <c r="E139" s="399"/>
      <c r="G139" s="403"/>
    </row>
    <row r="140" s="392" customFormat="1" ht="12.75">
      <c r="G140" s="403"/>
    </row>
    <row r="141" spans="1:17" s="223" customFormat="1" ht="27.75" customHeight="1">
      <c r="A141" s="223" t="s">
        <v>152</v>
      </c>
      <c r="Q141" s="224"/>
    </row>
    <row r="142" spans="2:7" s="392" customFormat="1" ht="12.75">
      <c r="B142" s="399"/>
      <c r="G142" s="403"/>
    </row>
    <row r="143" spans="1:7" s="392" customFormat="1" ht="12.75">
      <c r="A143" s="441"/>
      <c r="B143" s="402"/>
      <c r="C143" s="441"/>
      <c r="D143" s="441"/>
      <c r="E143" s="441"/>
      <c r="G143" s="403"/>
    </row>
    <row r="144" spans="1:7" s="392" customFormat="1" ht="16.5" customHeight="1">
      <c r="A144" s="438"/>
      <c r="B144" s="439"/>
      <c r="C144" s="438"/>
      <c r="D144" s="438"/>
      <c r="E144" s="404"/>
      <c r="G144" s="403"/>
    </row>
    <row r="145" spans="1:7" s="392" customFormat="1" ht="15.75" customHeight="1">
      <c r="A145" s="404"/>
      <c r="B145" s="404"/>
      <c r="C145" s="404"/>
      <c r="D145" s="404"/>
      <c r="E145" s="404"/>
      <c r="G145" s="403"/>
    </row>
    <row r="146" spans="1:17" s="392" customFormat="1" ht="12.75" hidden="1">
      <c r="A146" s="399"/>
      <c r="B146" s="399"/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Q146" s="403"/>
    </row>
    <row r="147" spans="1:17" s="392" customFormat="1" ht="12.75" hidden="1">
      <c r="A147" s="399"/>
      <c r="B147" s="399"/>
      <c r="C147" s="399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Q147" s="403"/>
    </row>
    <row r="148" spans="1:17" s="392" customFormat="1" ht="12.75" hidden="1">
      <c r="A148" s="399"/>
      <c r="B148" s="399"/>
      <c r="C148" s="399"/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N148" s="399"/>
      <c r="Q148" s="403"/>
    </row>
    <row r="149" s="392" customFormat="1" ht="12.75" hidden="1">
      <c r="Q149" s="403"/>
    </row>
    <row r="150" s="392" customFormat="1" ht="12.75">
      <c r="Q150" s="403"/>
    </row>
    <row r="151" spans="1:13" s="214" customFormat="1" ht="16.5">
      <c r="A151" s="721" t="s">
        <v>455</v>
      </c>
      <c r="B151" s="721"/>
      <c r="D151" s="273"/>
      <c r="L151" s="273" t="s">
        <v>364</v>
      </c>
      <c r="M151" s="214" t="s">
        <v>101</v>
      </c>
    </row>
    <row r="152" spans="1:17" s="214" customFormat="1" ht="16.5">
      <c r="A152" s="267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Q152" s="217"/>
    </row>
    <row r="153" spans="1:16" s="214" customFormat="1" ht="16.5">
      <c r="A153" s="267"/>
      <c r="B153" s="224" t="s">
        <v>102</v>
      </c>
      <c r="C153" s="405"/>
      <c r="D153" s="224" t="s">
        <v>103</v>
      </c>
      <c r="E153" s="224"/>
      <c r="F153" s="224"/>
      <c r="G153" s="224"/>
      <c r="H153" s="224"/>
      <c r="I153" s="224"/>
      <c r="J153" s="224"/>
      <c r="K153" s="224"/>
      <c r="L153" s="224"/>
      <c r="M153" s="224"/>
      <c r="P153" s="217"/>
    </row>
    <row r="154" spans="1:17" s="392" customFormat="1" ht="21" customHeight="1">
      <c r="A154" s="406"/>
      <c r="B154" s="407"/>
      <c r="C154" s="407"/>
      <c r="Q154" s="403"/>
    </row>
    <row r="155" spans="1:3" ht="16.5">
      <c r="A155" s="406"/>
      <c r="B155" s="407"/>
      <c r="C155" s="407"/>
    </row>
    <row r="156" spans="2:3" ht="15">
      <c r="B156" s="407"/>
      <c r="C156" s="407"/>
    </row>
    <row r="157" spans="2:3" ht="15">
      <c r="B157" s="407"/>
      <c r="C157" s="407"/>
    </row>
    <row r="158" spans="2:3" ht="15">
      <c r="B158" s="407"/>
      <c r="C158" s="407"/>
    </row>
    <row r="159" spans="2:3" ht="15">
      <c r="B159" s="407"/>
      <c r="C159" s="407"/>
    </row>
    <row r="160" ht="15">
      <c r="C160" s="407"/>
    </row>
    <row r="161" ht="15">
      <c r="C161" s="407"/>
    </row>
  </sheetData>
  <sheetProtection/>
  <mergeCells count="117">
    <mergeCell ref="A134:O134"/>
    <mergeCell ref="A151:B151"/>
    <mergeCell ref="F95:G95"/>
    <mergeCell ref="C96:D96"/>
    <mergeCell ref="F96:G96"/>
    <mergeCell ref="A120:B120"/>
    <mergeCell ref="A92:A93"/>
    <mergeCell ref="B92:B93"/>
    <mergeCell ref="C92:D93"/>
    <mergeCell ref="F92:G93"/>
    <mergeCell ref="A126:O126"/>
    <mergeCell ref="A128:D128"/>
    <mergeCell ref="C101:C102"/>
    <mergeCell ref="D101:D102"/>
    <mergeCell ref="E101:E102"/>
    <mergeCell ref="F101:F102"/>
    <mergeCell ref="A119:B119"/>
    <mergeCell ref="A103:F103"/>
    <mergeCell ref="A101:A102"/>
    <mergeCell ref="B101:B102"/>
    <mergeCell ref="F83:G84"/>
    <mergeCell ref="C94:D94"/>
    <mergeCell ref="F94:G94"/>
    <mergeCell ref="C95:D95"/>
    <mergeCell ref="C85:D85"/>
    <mergeCell ref="F85:G85"/>
    <mergeCell ref="C86:D86"/>
    <mergeCell ref="F86:G86"/>
    <mergeCell ref="C87:D87"/>
    <mergeCell ref="F87:G87"/>
    <mergeCell ref="A76:B76"/>
    <mergeCell ref="C76:D76"/>
    <mergeCell ref="A83:A84"/>
    <mergeCell ref="B83:B84"/>
    <mergeCell ref="C83:D84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9:B69"/>
    <mergeCell ref="C69:D69"/>
    <mergeCell ref="A64:B64"/>
    <mergeCell ref="C63:D63"/>
    <mergeCell ref="C64:D64"/>
    <mergeCell ref="A68:B68"/>
    <mergeCell ref="A65:B65"/>
    <mergeCell ref="C65:D65"/>
    <mergeCell ref="A60:B60"/>
    <mergeCell ref="C60:D60"/>
    <mergeCell ref="A61:B61"/>
    <mergeCell ref="C68:D68"/>
    <mergeCell ref="A66:B66"/>
    <mergeCell ref="C66:D66"/>
    <mergeCell ref="A67:B67"/>
    <mergeCell ref="C67:D67"/>
    <mergeCell ref="C61:D61"/>
    <mergeCell ref="A63:B63"/>
    <mergeCell ref="A59:G59"/>
    <mergeCell ref="A62:B62"/>
    <mergeCell ref="C62:D62"/>
    <mergeCell ref="A57:B57"/>
    <mergeCell ref="C57:D57"/>
    <mergeCell ref="A58:B58"/>
    <mergeCell ref="C58:D58"/>
    <mergeCell ref="A56:B56"/>
    <mergeCell ref="C56:D56"/>
    <mergeCell ref="A54:B54"/>
    <mergeCell ref="C54:D54"/>
    <mergeCell ref="A55:B55"/>
    <mergeCell ref="C55:D55"/>
    <mergeCell ref="A48:B48"/>
    <mergeCell ref="C48:D48"/>
    <mergeCell ref="A53:B53"/>
    <mergeCell ref="C53:D53"/>
    <mergeCell ref="A52:B52"/>
    <mergeCell ref="C52:D52"/>
    <mergeCell ref="A50:B50"/>
    <mergeCell ref="C50:D50"/>
    <mergeCell ref="A47:B47"/>
    <mergeCell ref="C47:D47"/>
    <mergeCell ref="A45:B45"/>
    <mergeCell ref="A46:B46"/>
    <mergeCell ref="A51:B51"/>
    <mergeCell ref="C51:D51"/>
    <mergeCell ref="A49:B49"/>
    <mergeCell ref="C49:D49"/>
    <mergeCell ref="A44:B44"/>
    <mergeCell ref="C44:D44"/>
    <mergeCell ref="C45:D45"/>
    <mergeCell ref="C46:D46"/>
    <mergeCell ref="A43:B43"/>
    <mergeCell ref="C43:D43"/>
    <mergeCell ref="A42:B42"/>
    <mergeCell ref="C42:D42"/>
    <mergeCell ref="C18:G18"/>
    <mergeCell ref="A24:B24"/>
    <mergeCell ref="A26:B26"/>
    <mergeCell ref="A27:B27"/>
    <mergeCell ref="E24:G24"/>
    <mergeCell ref="A31:B31"/>
    <mergeCell ref="A32:B32"/>
    <mergeCell ref="A33:B33"/>
    <mergeCell ref="A28:B28"/>
    <mergeCell ref="A40:B40"/>
    <mergeCell ref="A41:G41"/>
    <mergeCell ref="E40:G40"/>
    <mergeCell ref="A29:B29"/>
    <mergeCell ref="A34:B34"/>
    <mergeCell ref="C40:D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4" manualBreakCount="4">
    <brk id="37" max="255" man="1"/>
    <brk id="58" max="255" man="1"/>
    <brk id="78" max="255" man="1"/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view="pageBreakPreview" zoomScale="85" zoomScaleSheetLayoutView="85" workbookViewId="0" topLeftCell="A16">
      <selection activeCell="R8" sqref="R8"/>
    </sheetView>
  </sheetViews>
  <sheetFormatPr defaultColWidth="9.00390625" defaultRowHeight="12.75"/>
  <cols>
    <col min="1" max="1" width="9.125" style="261" customWidth="1"/>
    <col min="2" max="2" width="33.625" style="261" customWidth="1"/>
    <col min="3" max="3" width="8.75390625" style="261" bestFit="1" customWidth="1"/>
    <col min="4" max="4" width="16.25390625" style="261" customWidth="1"/>
    <col min="5" max="5" width="15.375" style="261" bestFit="1" customWidth="1"/>
    <col min="6" max="6" width="17.75390625" style="261" customWidth="1"/>
    <col min="7" max="7" width="16.75390625" style="261" customWidth="1"/>
    <col min="8" max="8" width="15.75390625" style="261" customWidth="1"/>
    <col min="9" max="9" width="15.00390625" style="261" customWidth="1"/>
    <col min="10" max="10" width="16.625" style="261" bestFit="1" customWidth="1"/>
    <col min="11" max="11" width="15.875" style="261" bestFit="1" customWidth="1"/>
    <col min="12" max="12" width="15.625" style="261" customWidth="1"/>
    <col min="13" max="13" width="16.00390625" style="261" customWidth="1"/>
    <col min="14" max="14" width="15.00390625" style="261" customWidth="1"/>
    <col min="15" max="15" width="16.25390625" style="261" customWidth="1"/>
    <col min="16" max="16" width="16.375" style="261" customWidth="1"/>
    <col min="17" max="18" width="15.25390625" style="261" customWidth="1"/>
    <col min="19" max="19" width="15.875" style="261" bestFit="1" customWidth="1"/>
    <col min="20" max="20" width="17.25390625" style="261" customWidth="1"/>
    <col min="21" max="21" width="15.875" style="261" bestFit="1" customWidth="1"/>
    <col min="22" max="22" width="16.875" style="261" customWidth="1"/>
    <col min="23" max="16384" width="9.125" style="261" customWidth="1"/>
  </cols>
  <sheetData>
    <row r="1" spans="2:20" ht="18.75">
      <c r="B1" s="656" t="s">
        <v>199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</row>
    <row r="2" spans="2:20" ht="18.75">
      <c r="B2" s="511"/>
      <c r="C2" s="658" t="s">
        <v>310</v>
      </c>
      <c r="D2" s="658" t="s">
        <v>379</v>
      </c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9"/>
      <c r="T2" s="513"/>
    </row>
    <row r="3" spans="2:20" ht="18.75">
      <c r="B3" s="511"/>
      <c r="C3" s="658"/>
      <c r="D3" s="511">
        <v>1</v>
      </c>
      <c r="E3" s="511">
        <v>2</v>
      </c>
      <c r="F3" s="511">
        <v>3</v>
      </c>
      <c r="G3" s="511" t="s">
        <v>378</v>
      </c>
      <c r="H3" s="511">
        <v>4</v>
      </c>
      <c r="I3" s="511">
        <v>5</v>
      </c>
      <c r="J3" s="511">
        <v>6</v>
      </c>
      <c r="K3" s="511" t="s">
        <v>377</v>
      </c>
      <c r="L3" s="511">
        <v>7</v>
      </c>
      <c r="M3" s="511">
        <v>8</v>
      </c>
      <c r="N3" s="511">
        <v>9</v>
      </c>
      <c r="O3" s="511" t="s">
        <v>376</v>
      </c>
      <c r="P3" s="511">
        <v>10</v>
      </c>
      <c r="Q3" s="511">
        <v>11</v>
      </c>
      <c r="R3" s="511">
        <v>12</v>
      </c>
      <c r="S3" s="511" t="s">
        <v>375</v>
      </c>
      <c r="T3" s="511"/>
    </row>
    <row r="4" spans="1:22" ht="18.75">
      <c r="A4" s="657" t="s">
        <v>186</v>
      </c>
      <c r="B4" s="511" t="s">
        <v>212</v>
      </c>
      <c r="C4" s="512">
        <v>211</v>
      </c>
      <c r="D4" s="514">
        <v>1140617</v>
      </c>
      <c r="E4" s="514">
        <v>1140617</v>
      </c>
      <c r="F4" s="514">
        <v>1140617</v>
      </c>
      <c r="G4" s="514">
        <f>G5+G6</f>
        <v>3421851</v>
      </c>
      <c r="H4" s="514">
        <v>1140617</v>
      </c>
      <c r="I4" s="514">
        <v>1710927</v>
      </c>
      <c r="J4" s="514">
        <v>1140616</v>
      </c>
      <c r="K4" s="514">
        <f>K5+K6</f>
        <v>3992160</v>
      </c>
      <c r="L4" s="514">
        <v>798432</v>
      </c>
      <c r="M4" s="514">
        <v>912494</v>
      </c>
      <c r="N4" s="514">
        <v>1140617</v>
      </c>
      <c r="O4" s="514">
        <f>O5+O6</f>
        <v>2851543</v>
      </c>
      <c r="P4" s="514">
        <v>1140617</v>
      </c>
      <c r="Q4" s="514">
        <v>1165676</v>
      </c>
      <c r="R4" s="514">
        <v>1115556</v>
      </c>
      <c r="S4" s="514">
        <f>S5+S6</f>
        <v>3421849</v>
      </c>
      <c r="T4" s="514">
        <f>T5+T6</f>
        <v>13687403</v>
      </c>
      <c r="U4" s="314">
        <f>'свод '!F16+'свод '!F36</f>
        <v>13687402.996242134</v>
      </c>
      <c r="V4" s="314">
        <f>U4-T4</f>
        <v>-0.0037578660994768143</v>
      </c>
    </row>
    <row r="5" spans="1:22" s="223" customFormat="1" ht="112.5">
      <c r="A5" s="657"/>
      <c r="B5" s="515" t="s">
        <v>374</v>
      </c>
      <c r="C5" s="516">
        <v>211</v>
      </c>
      <c r="D5" s="517">
        <v>572833.38</v>
      </c>
      <c r="E5" s="517">
        <v>572833.38</v>
      </c>
      <c r="F5" s="517">
        <v>572833.38</v>
      </c>
      <c r="G5" s="518">
        <f>SUM(D5:F5)</f>
        <v>1718500.1400000001</v>
      </c>
      <c r="H5" s="517">
        <v>572833.38</v>
      </c>
      <c r="I5" s="517">
        <v>859250</v>
      </c>
      <c r="J5" s="517">
        <v>572833.38</v>
      </c>
      <c r="K5" s="518">
        <f>SUM(H5:J5)</f>
        <v>2004916.7599999998</v>
      </c>
      <c r="L5" s="517">
        <v>400983</v>
      </c>
      <c r="M5" s="517">
        <v>458266</v>
      </c>
      <c r="N5" s="517">
        <v>572833.38</v>
      </c>
      <c r="O5" s="518">
        <f>SUM(L5:N5)</f>
        <v>1432082.38</v>
      </c>
      <c r="P5" s="517">
        <v>572833.38</v>
      </c>
      <c r="Q5" s="517">
        <v>584290</v>
      </c>
      <c r="R5" s="517">
        <v>561377.9</v>
      </c>
      <c r="S5" s="518">
        <f>SUM(P5:R5)</f>
        <v>1718501.2799999998</v>
      </c>
      <c r="T5" s="519">
        <f>S5+O5+K5+G5</f>
        <v>6874000.5600000005</v>
      </c>
      <c r="U5" s="317">
        <f>'свод '!F16</f>
        <v>6874000.56</v>
      </c>
      <c r="V5" s="314">
        <f aca="true" t="shared" si="0" ref="V5:V19">U5-T5</f>
        <v>0</v>
      </c>
    </row>
    <row r="6" spans="1:22" ht="112.5">
      <c r="A6" s="657"/>
      <c r="B6" s="515" t="s">
        <v>289</v>
      </c>
      <c r="C6" s="520">
        <v>211</v>
      </c>
      <c r="D6" s="519">
        <f>D4-D5</f>
        <v>567783.62</v>
      </c>
      <c r="E6" s="519">
        <f>E4-E5</f>
        <v>567783.62</v>
      </c>
      <c r="F6" s="519">
        <f>F4-F5</f>
        <v>567783.62</v>
      </c>
      <c r="G6" s="518">
        <f>SUM(D6:F6)</f>
        <v>1703350.8599999999</v>
      </c>
      <c r="H6" s="519">
        <f>H4-H5</f>
        <v>567783.62</v>
      </c>
      <c r="I6" s="519">
        <f>I4-I5</f>
        <v>851677</v>
      </c>
      <c r="J6" s="519">
        <f>J4-J5</f>
        <v>567782.62</v>
      </c>
      <c r="K6" s="518">
        <f>SUM(H6:J6)</f>
        <v>1987243.2400000002</v>
      </c>
      <c r="L6" s="519">
        <f>L4-L5</f>
        <v>397449</v>
      </c>
      <c r="M6" s="519">
        <f>M4-M5</f>
        <v>454228</v>
      </c>
      <c r="N6" s="519">
        <f>N4-N5</f>
        <v>567783.62</v>
      </c>
      <c r="O6" s="518">
        <f>SUM(L6:N6)</f>
        <v>1419460.62</v>
      </c>
      <c r="P6" s="519">
        <f>P4-P5</f>
        <v>567783.62</v>
      </c>
      <c r="Q6" s="519">
        <f>Q4-Q5</f>
        <v>581386</v>
      </c>
      <c r="R6" s="519">
        <f>R4-R5</f>
        <v>554178.1</v>
      </c>
      <c r="S6" s="518">
        <f>SUM(P6:R6)</f>
        <v>1703347.7200000002</v>
      </c>
      <c r="T6" s="519">
        <f>S6+O6+K6+G6</f>
        <v>6813402.4399999995</v>
      </c>
      <c r="U6" s="314">
        <f>'свод '!F36</f>
        <v>6813402.436242134</v>
      </c>
      <c r="V6" s="314">
        <f t="shared" si="0"/>
        <v>-0.0037578651681542397</v>
      </c>
    </row>
    <row r="7" spans="1:22" ht="112.5">
      <c r="A7" s="657"/>
      <c r="B7" s="515" t="s">
        <v>373</v>
      </c>
      <c r="C7" s="520">
        <v>213</v>
      </c>
      <c r="D7" s="519">
        <v>172996</v>
      </c>
      <c r="E7" s="519">
        <v>172996</v>
      </c>
      <c r="F7" s="519">
        <v>172996</v>
      </c>
      <c r="G7" s="518">
        <f>SUM(D7:F7)</f>
        <v>518988</v>
      </c>
      <c r="H7" s="519">
        <v>172996</v>
      </c>
      <c r="I7" s="519">
        <v>259494</v>
      </c>
      <c r="J7" s="519">
        <v>172996</v>
      </c>
      <c r="K7" s="518">
        <f>SUM(H7:J7)</f>
        <v>605486</v>
      </c>
      <c r="L7" s="519">
        <v>121096</v>
      </c>
      <c r="M7" s="519">
        <v>138396</v>
      </c>
      <c r="N7" s="519">
        <v>172996</v>
      </c>
      <c r="O7" s="518">
        <f>SUM(L7:N7)</f>
        <v>432488</v>
      </c>
      <c r="P7" s="519">
        <v>172996</v>
      </c>
      <c r="Q7" s="519">
        <v>176456</v>
      </c>
      <c r="R7" s="519">
        <v>169534.17</v>
      </c>
      <c r="S7" s="518">
        <f>SUM(P7:R7)</f>
        <v>518986.17000000004</v>
      </c>
      <c r="T7" s="519">
        <f>S7+O7+K7+G7</f>
        <v>2075948.17</v>
      </c>
      <c r="U7" s="314">
        <f>'свод '!F17</f>
        <v>2075948.17</v>
      </c>
      <c r="V7" s="314">
        <f t="shared" si="0"/>
        <v>0</v>
      </c>
    </row>
    <row r="8" spans="1:22" s="251" customFormat="1" ht="131.25">
      <c r="A8" s="657"/>
      <c r="B8" s="515" t="s">
        <v>166</v>
      </c>
      <c r="C8" s="516">
        <v>213</v>
      </c>
      <c r="D8" s="519">
        <f>D9-D7</f>
        <v>171471</v>
      </c>
      <c r="E8" s="519">
        <f>E9-E7</f>
        <v>171471</v>
      </c>
      <c r="F8" s="519">
        <f>F9-F7</f>
        <v>171471</v>
      </c>
      <c r="G8" s="518">
        <f>SUM(D8:F8)</f>
        <v>514413</v>
      </c>
      <c r="H8" s="519">
        <f>H9-H7</f>
        <v>171471</v>
      </c>
      <c r="I8" s="519">
        <f>I9-I7</f>
        <v>257206</v>
      </c>
      <c r="J8" s="519">
        <f>J9-J7</f>
        <v>171472</v>
      </c>
      <c r="K8" s="518">
        <f>SUM(H8:J8)</f>
        <v>600149</v>
      </c>
      <c r="L8" s="519">
        <f>L9-L7</f>
        <v>120031</v>
      </c>
      <c r="M8" s="519">
        <f>M9-M7</f>
        <v>137177</v>
      </c>
      <c r="N8" s="519">
        <f>N9-N7</f>
        <v>171472</v>
      </c>
      <c r="O8" s="518">
        <f>SUM(L8:N8)</f>
        <v>428680</v>
      </c>
      <c r="P8" s="519">
        <f>P9-P7</f>
        <v>171471</v>
      </c>
      <c r="Q8" s="519">
        <f>Q9-Q7</f>
        <v>175579</v>
      </c>
      <c r="R8" s="519">
        <f>R9-R7</f>
        <v>167355.83</v>
      </c>
      <c r="S8" s="518">
        <f>SUM(P8:R8)</f>
        <v>514405.82999999996</v>
      </c>
      <c r="T8" s="519">
        <f>S8+O8+K8+G8</f>
        <v>2057647.83</v>
      </c>
      <c r="U8" s="320">
        <f>'свод '!F37</f>
        <v>2057647.83</v>
      </c>
      <c r="V8" s="314">
        <f t="shared" si="0"/>
        <v>0</v>
      </c>
    </row>
    <row r="9" spans="1:22" s="223" customFormat="1" ht="18.75">
      <c r="A9" s="657"/>
      <c r="B9" s="515"/>
      <c r="C9" s="521">
        <v>213</v>
      </c>
      <c r="D9" s="514">
        <v>344467</v>
      </c>
      <c r="E9" s="514">
        <v>344467</v>
      </c>
      <c r="F9" s="514">
        <v>344467</v>
      </c>
      <c r="G9" s="514">
        <f>G7+G8</f>
        <v>1033401</v>
      </c>
      <c r="H9" s="514">
        <v>344467</v>
      </c>
      <c r="I9" s="514">
        <v>516700</v>
      </c>
      <c r="J9" s="514">
        <v>344468</v>
      </c>
      <c r="K9" s="514">
        <f>K7+K8</f>
        <v>1205635</v>
      </c>
      <c r="L9" s="514">
        <v>241127</v>
      </c>
      <c r="M9" s="514">
        <v>275573</v>
      </c>
      <c r="N9" s="514">
        <v>344468</v>
      </c>
      <c r="O9" s="514">
        <f>O7+O8</f>
        <v>861168</v>
      </c>
      <c r="P9" s="514">
        <v>344467</v>
      </c>
      <c r="Q9" s="514">
        <v>352035</v>
      </c>
      <c r="R9" s="514">
        <v>336890</v>
      </c>
      <c r="S9" s="514">
        <f>S7+S8</f>
        <v>1033392</v>
      </c>
      <c r="T9" s="514">
        <f>T7+T8</f>
        <v>4133596</v>
      </c>
      <c r="U9" s="317">
        <f>'свод '!F17+'свод '!F37</f>
        <v>4133596</v>
      </c>
      <c r="V9" s="314">
        <f t="shared" si="0"/>
        <v>0</v>
      </c>
    </row>
    <row r="10" spans="1:22" s="223" customFormat="1" ht="18.75">
      <c r="A10" s="657"/>
      <c r="B10" s="515" t="s">
        <v>371</v>
      </c>
      <c r="C10" s="511">
        <v>226</v>
      </c>
      <c r="D10" s="519"/>
      <c r="E10" s="519"/>
      <c r="F10" s="519">
        <v>4258</v>
      </c>
      <c r="G10" s="518">
        <f>SUM(D10:F10)</f>
        <v>4258</v>
      </c>
      <c r="H10" s="519"/>
      <c r="I10" s="519"/>
      <c r="J10" s="519">
        <v>4258</v>
      </c>
      <c r="K10" s="518">
        <f>SUM(H10:J10)</f>
        <v>4258</v>
      </c>
      <c r="L10" s="519"/>
      <c r="M10" s="519"/>
      <c r="N10" s="519">
        <v>4258</v>
      </c>
      <c r="O10" s="518">
        <f>SUM(L10:N10)</f>
        <v>4258</v>
      </c>
      <c r="P10" s="519"/>
      <c r="Q10" s="519"/>
      <c r="R10" s="519"/>
      <c r="S10" s="518">
        <f>SUM(P10:R10)</f>
        <v>0</v>
      </c>
      <c r="T10" s="519">
        <f>S10+O10+K10+G10</f>
        <v>12774</v>
      </c>
      <c r="U10" s="317">
        <f>проверка!C9</f>
        <v>12774</v>
      </c>
      <c r="V10" s="314">
        <f t="shared" si="0"/>
        <v>0</v>
      </c>
    </row>
    <row r="11" spans="1:22" s="223" customFormat="1" ht="18.75">
      <c r="A11" s="657"/>
      <c r="B11" s="522" t="s">
        <v>188</v>
      </c>
      <c r="C11" s="511">
        <v>340</v>
      </c>
      <c r="D11" s="519"/>
      <c r="E11" s="519"/>
      <c r="F11" s="519"/>
      <c r="G11" s="518">
        <f>SUM(D11:F11)</f>
        <v>0</v>
      </c>
      <c r="H11" s="519">
        <v>76129</v>
      </c>
      <c r="I11" s="519"/>
      <c r="J11" s="519"/>
      <c r="K11" s="518">
        <f>SUM(H11:J11)</f>
        <v>76129</v>
      </c>
      <c r="L11" s="519"/>
      <c r="M11" s="519"/>
      <c r="N11" s="519"/>
      <c r="O11" s="518">
        <f>SUM(L11:N11)</f>
        <v>0</v>
      </c>
      <c r="P11" s="519"/>
      <c r="Q11" s="519"/>
      <c r="R11" s="519">
        <v>32627</v>
      </c>
      <c r="S11" s="518">
        <f>SUM(P11:R11)</f>
        <v>32627</v>
      </c>
      <c r="T11" s="519">
        <f>S11+O11+K11+G11</f>
        <v>108756</v>
      </c>
      <c r="U11" s="317">
        <f>проверка!C10</f>
        <v>108756</v>
      </c>
      <c r="V11" s="314">
        <f t="shared" si="0"/>
        <v>0</v>
      </c>
    </row>
    <row r="12" spans="1:22" s="223" customFormat="1" ht="18.75">
      <c r="A12" s="657"/>
      <c r="B12" s="515"/>
      <c r="C12" s="521"/>
      <c r="D12" s="514">
        <f>D9+D4</f>
        <v>1485084</v>
      </c>
      <c r="E12" s="514">
        <f>E9+E4</f>
        <v>1485084</v>
      </c>
      <c r="F12" s="514">
        <f>F9+F4</f>
        <v>1485084</v>
      </c>
      <c r="G12" s="514">
        <f>D12+E12+F12</f>
        <v>4455252</v>
      </c>
      <c r="H12" s="514">
        <f>H9+H4</f>
        <v>1485084</v>
      </c>
      <c r="I12" s="514">
        <f>I9+I4</f>
        <v>2227627</v>
      </c>
      <c r="J12" s="514">
        <f>J9+J4</f>
        <v>1485084</v>
      </c>
      <c r="K12" s="514">
        <f>H12+I12+J12</f>
        <v>5197795</v>
      </c>
      <c r="L12" s="514">
        <f>L9+L4</f>
        <v>1039559</v>
      </c>
      <c r="M12" s="514">
        <f>M9+M4</f>
        <v>1188067</v>
      </c>
      <c r="N12" s="514">
        <f>N9+N4</f>
        <v>1485085</v>
      </c>
      <c r="O12" s="514">
        <f>L12+M12+N12</f>
        <v>3712711</v>
      </c>
      <c r="P12" s="514">
        <f>P9+P4</f>
        <v>1485084</v>
      </c>
      <c r="Q12" s="514">
        <f>Q9+Q4</f>
        <v>1517711</v>
      </c>
      <c r="R12" s="514">
        <f>R9+R4</f>
        <v>1452446</v>
      </c>
      <c r="S12" s="514">
        <f>P12+Q12+R12</f>
        <v>4455241</v>
      </c>
      <c r="T12" s="514">
        <f>T4+T9+T10+T11</f>
        <v>17942529</v>
      </c>
      <c r="U12" s="317"/>
      <c r="V12" s="314"/>
    </row>
    <row r="13" spans="1:22" s="223" customFormat="1" ht="18.75">
      <c r="A13" s="415"/>
      <c r="B13" s="515" t="s">
        <v>213</v>
      </c>
      <c r="C13" s="521"/>
      <c r="D13" s="514">
        <v>24434</v>
      </c>
      <c r="E13" s="514">
        <v>60111</v>
      </c>
      <c r="F13" s="514">
        <v>60389</v>
      </c>
      <c r="G13" s="514">
        <f>G15</f>
        <v>144934</v>
      </c>
      <c r="H13" s="514">
        <v>60389</v>
      </c>
      <c r="I13" s="514">
        <v>60389</v>
      </c>
      <c r="J13" s="514">
        <v>60389</v>
      </c>
      <c r="K13" s="514">
        <f>K15</f>
        <v>181167</v>
      </c>
      <c r="L13" s="514">
        <v>60389</v>
      </c>
      <c r="M13" s="514">
        <v>60389</v>
      </c>
      <c r="N13" s="514">
        <v>60389</v>
      </c>
      <c r="O13" s="514">
        <f>O15</f>
        <v>181167</v>
      </c>
      <c r="P13" s="514">
        <v>60389</v>
      </c>
      <c r="Q13" s="514">
        <v>60389</v>
      </c>
      <c r="R13" s="514">
        <v>96622</v>
      </c>
      <c r="S13" s="514">
        <f>S15</f>
        <v>217400</v>
      </c>
      <c r="T13" s="514">
        <f>S13+O13+K13+G13</f>
        <v>724668</v>
      </c>
      <c r="U13" s="317"/>
      <c r="V13" s="314"/>
    </row>
    <row r="14" spans="1:22" s="223" customFormat="1" ht="93.75">
      <c r="A14" s="415"/>
      <c r="B14" s="515" t="s">
        <v>374</v>
      </c>
      <c r="C14" s="521">
        <v>211</v>
      </c>
      <c r="D14" s="519"/>
      <c r="E14" s="519"/>
      <c r="F14" s="519"/>
      <c r="G14" s="523">
        <f>SUM(D14:F14)</f>
        <v>0</v>
      </c>
      <c r="H14" s="519"/>
      <c r="I14" s="519"/>
      <c r="J14" s="519"/>
      <c r="K14" s="523">
        <f>SUM(H14:J14)</f>
        <v>0</v>
      </c>
      <c r="L14" s="519"/>
      <c r="M14" s="519"/>
      <c r="N14" s="519"/>
      <c r="O14" s="523">
        <f>SUM(L14:N14)</f>
        <v>0</v>
      </c>
      <c r="P14" s="519"/>
      <c r="Q14" s="519"/>
      <c r="R14" s="519"/>
      <c r="S14" s="523">
        <f>SUM(P14:R14)</f>
        <v>0</v>
      </c>
      <c r="T14" s="519">
        <f>G14+K14+O14+S14</f>
        <v>0</v>
      </c>
      <c r="U14" s="317">
        <f>'свод '!F22</f>
        <v>0</v>
      </c>
      <c r="V14" s="314">
        <f t="shared" si="0"/>
        <v>0</v>
      </c>
    </row>
    <row r="15" spans="1:22" s="223" customFormat="1" ht="112.5">
      <c r="A15" s="415"/>
      <c r="B15" s="515" t="s">
        <v>289</v>
      </c>
      <c r="C15" s="521">
        <v>211</v>
      </c>
      <c r="D15" s="519">
        <f>D13-D14</f>
        <v>24434</v>
      </c>
      <c r="E15" s="519">
        <f>E13-E14</f>
        <v>60111</v>
      </c>
      <c r="F15" s="519">
        <f>F13-F14</f>
        <v>60389</v>
      </c>
      <c r="G15" s="523">
        <f>SUM(D15:F15)</f>
        <v>144934</v>
      </c>
      <c r="H15" s="519">
        <f>H13-H14</f>
        <v>60389</v>
      </c>
      <c r="I15" s="519">
        <f>I13-I14</f>
        <v>60389</v>
      </c>
      <c r="J15" s="519">
        <f>J13-J14</f>
        <v>60389</v>
      </c>
      <c r="K15" s="523">
        <f>SUM(H15:J15)</f>
        <v>181167</v>
      </c>
      <c r="L15" s="519">
        <f>L13-L14</f>
        <v>60389</v>
      </c>
      <c r="M15" s="519">
        <f>M13-M14</f>
        <v>60389</v>
      </c>
      <c r="N15" s="519">
        <f>N13-N14</f>
        <v>60389</v>
      </c>
      <c r="O15" s="523">
        <f>SUM(L15:N15)</f>
        <v>181167</v>
      </c>
      <c r="P15" s="519">
        <f>P13-P14</f>
        <v>60389</v>
      </c>
      <c r="Q15" s="519">
        <f>Q13-Q14</f>
        <v>60389</v>
      </c>
      <c r="R15" s="519">
        <f>R13-R14</f>
        <v>96622</v>
      </c>
      <c r="S15" s="523">
        <f>SUM(P15:R15)</f>
        <v>217400</v>
      </c>
      <c r="T15" s="519">
        <f>G15+K15+O15+S15</f>
        <v>724668</v>
      </c>
      <c r="U15" s="317">
        <f>'свод '!F40</f>
        <v>724668</v>
      </c>
      <c r="V15" s="314">
        <f t="shared" si="0"/>
        <v>0</v>
      </c>
    </row>
    <row r="16" spans="1:22" ht="112.5">
      <c r="A16" s="657" t="s">
        <v>187</v>
      </c>
      <c r="B16" s="515" t="s">
        <v>373</v>
      </c>
      <c r="C16" s="511">
        <v>213</v>
      </c>
      <c r="D16" s="519"/>
      <c r="E16" s="519"/>
      <c r="F16" s="519"/>
      <c r="G16" s="523">
        <f>SUM(D16:F16)</f>
        <v>0</v>
      </c>
      <c r="H16" s="519"/>
      <c r="I16" s="519"/>
      <c r="J16" s="519"/>
      <c r="K16" s="523">
        <f>SUM(H16:J16)</f>
        <v>0</v>
      </c>
      <c r="L16" s="519"/>
      <c r="M16" s="519"/>
      <c r="N16" s="519"/>
      <c r="O16" s="523">
        <f>SUM(L16:N16)</f>
        <v>0</v>
      </c>
      <c r="P16" s="519"/>
      <c r="Q16" s="519"/>
      <c r="R16" s="519"/>
      <c r="S16" s="523">
        <f>SUM(P16:R16)</f>
        <v>0</v>
      </c>
      <c r="T16" s="519">
        <f>G16+K16+O16+S16</f>
        <v>0</v>
      </c>
      <c r="U16" s="314">
        <f>'свод '!F23</f>
        <v>0</v>
      </c>
      <c r="V16" s="314">
        <f t="shared" si="0"/>
        <v>0</v>
      </c>
    </row>
    <row r="17" spans="1:22" ht="131.25">
      <c r="A17" s="657"/>
      <c r="B17" s="515" t="s">
        <v>166</v>
      </c>
      <c r="C17" s="511">
        <v>213</v>
      </c>
      <c r="D17" s="519">
        <f>D18-D16</f>
        <v>0</v>
      </c>
      <c r="E17" s="519">
        <f>E18-E16</f>
        <v>18237</v>
      </c>
      <c r="F17" s="519">
        <f>F18-F16</f>
        <v>18238</v>
      </c>
      <c r="G17" s="523">
        <f>SUM(D17:F17)</f>
        <v>36475</v>
      </c>
      <c r="H17" s="519">
        <f>H18-H16</f>
        <v>18237</v>
      </c>
      <c r="I17" s="519">
        <f>I18-I16</f>
        <v>18237</v>
      </c>
      <c r="J17" s="519">
        <f>J18-J16</f>
        <v>18238</v>
      </c>
      <c r="K17" s="523">
        <f>SUM(H17:J17)</f>
        <v>54712</v>
      </c>
      <c r="L17" s="519">
        <f>L18-L16</f>
        <v>18237</v>
      </c>
      <c r="M17" s="519">
        <f>M18-M16</f>
        <v>18237</v>
      </c>
      <c r="N17" s="519">
        <f>N18-N16</f>
        <v>18238</v>
      </c>
      <c r="O17" s="523">
        <f>SUM(L17:N17)</f>
        <v>54712</v>
      </c>
      <c r="P17" s="519">
        <f>P18-P16</f>
        <v>18237</v>
      </c>
      <c r="Q17" s="519">
        <f>Q18-Q16</f>
        <v>18237</v>
      </c>
      <c r="R17" s="519">
        <f>R18-R16</f>
        <v>36477</v>
      </c>
      <c r="S17" s="523">
        <f>SUM(P17:R17)</f>
        <v>72951</v>
      </c>
      <c r="T17" s="519">
        <f>G17+K17+O17+S17</f>
        <v>218850</v>
      </c>
      <c r="U17" s="314">
        <f>'свод '!F41</f>
        <v>218850</v>
      </c>
      <c r="V17" s="314">
        <f t="shared" si="0"/>
        <v>0</v>
      </c>
    </row>
    <row r="18" spans="1:22" ht="18.75">
      <c r="A18" s="657"/>
      <c r="B18" s="515"/>
      <c r="C18" s="511"/>
      <c r="D18" s="514"/>
      <c r="E18" s="514">
        <v>18237</v>
      </c>
      <c r="F18" s="514">
        <v>18238</v>
      </c>
      <c r="G18" s="514">
        <f>G16+G17</f>
        <v>36475</v>
      </c>
      <c r="H18" s="514">
        <v>18237</v>
      </c>
      <c r="I18" s="514">
        <v>18237</v>
      </c>
      <c r="J18" s="514">
        <v>18238</v>
      </c>
      <c r="K18" s="514">
        <f>K16+K17</f>
        <v>54712</v>
      </c>
      <c r="L18" s="514">
        <v>18237</v>
      </c>
      <c r="M18" s="514">
        <v>18237</v>
      </c>
      <c r="N18" s="514">
        <v>18238</v>
      </c>
      <c r="O18" s="514">
        <f>O16+O17</f>
        <v>54712</v>
      </c>
      <c r="P18" s="514">
        <v>18237</v>
      </c>
      <c r="Q18" s="514">
        <v>18237</v>
      </c>
      <c r="R18" s="514">
        <v>36477</v>
      </c>
      <c r="S18" s="514">
        <f>S16+S17</f>
        <v>72951</v>
      </c>
      <c r="T18" s="514">
        <f>G18+K18+O18+S18</f>
        <v>218850</v>
      </c>
      <c r="U18" s="314"/>
      <c r="V18" s="314">
        <f t="shared" si="0"/>
        <v>-218850</v>
      </c>
    </row>
    <row r="19" spans="1:22" ht="75">
      <c r="A19" s="657"/>
      <c r="B19" s="515" t="s">
        <v>287</v>
      </c>
      <c r="C19" s="511">
        <v>212</v>
      </c>
      <c r="D19" s="519"/>
      <c r="E19" s="519">
        <v>200</v>
      </c>
      <c r="F19" s="519">
        <v>200</v>
      </c>
      <c r="G19" s="518">
        <f>D19+E19+F19</f>
        <v>400</v>
      </c>
      <c r="H19" s="519">
        <v>200</v>
      </c>
      <c r="I19" s="519">
        <v>200</v>
      </c>
      <c r="J19" s="519">
        <v>200</v>
      </c>
      <c r="K19" s="518">
        <f>H19+I19+J19</f>
        <v>600</v>
      </c>
      <c r="L19" s="519">
        <v>200</v>
      </c>
      <c r="M19" s="519">
        <v>200</v>
      </c>
      <c r="N19" s="519">
        <v>200</v>
      </c>
      <c r="O19" s="518">
        <f>L19+M19+N19</f>
        <v>600</v>
      </c>
      <c r="P19" s="519">
        <v>200</v>
      </c>
      <c r="Q19" s="519">
        <v>200</v>
      </c>
      <c r="R19" s="519">
        <v>400</v>
      </c>
      <c r="S19" s="518">
        <f>P19+Q19+R19</f>
        <v>800</v>
      </c>
      <c r="T19" s="519">
        <f aca="true" t="shared" si="1" ref="T19:T27">S19+O19+K19+G19</f>
        <v>2400</v>
      </c>
      <c r="U19" s="314">
        <f>'свод '!F42</f>
        <v>2400</v>
      </c>
      <c r="V19" s="314">
        <f t="shared" si="0"/>
        <v>0</v>
      </c>
    </row>
    <row r="20" spans="1:22" ht="18.75">
      <c r="A20" s="657"/>
      <c r="B20" s="515" t="s">
        <v>305</v>
      </c>
      <c r="C20" s="511">
        <v>221</v>
      </c>
      <c r="D20" s="519">
        <v>1500</v>
      </c>
      <c r="E20" s="519">
        <v>1300</v>
      </c>
      <c r="F20" s="519">
        <v>2062</v>
      </c>
      <c r="G20" s="518">
        <f aca="true" t="shared" si="2" ref="G20:G26">D20+E20+F20</f>
        <v>4862</v>
      </c>
      <c r="H20" s="519">
        <v>1500</v>
      </c>
      <c r="I20" s="519">
        <v>1300</v>
      </c>
      <c r="J20" s="519">
        <v>2062</v>
      </c>
      <c r="K20" s="518">
        <f aca="true" t="shared" si="3" ref="K20:K26">H20+I20+J20</f>
        <v>4862</v>
      </c>
      <c r="L20" s="519">
        <v>1500</v>
      </c>
      <c r="M20" s="519">
        <v>1300</v>
      </c>
      <c r="N20" s="519">
        <v>2062</v>
      </c>
      <c r="O20" s="518">
        <f aca="true" t="shared" si="4" ref="O20:O26">L20+M20+N20</f>
        <v>4862</v>
      </c>
      <c r="P20" s="519">
        <v>1500</v>
      </c>
      <c r="Q20" s="519">
        <v>1300</v>
      </c>
      <c r="R20" s="519">
        <v>2063</v>
      </c>
      <c r="S20" s="518">
        <f aca="true" t="shared" si="5" ref="S20:S26">P20+Q20+R20</f>
        <v>4863</v>
      </c>
      <c r="T20" s="519">
        <f t="shared" si="1"/>
        <v>19449</v>
      </c>
      <c r="U20" s="314">
        <f>'свод '!F103</f>
        <v>19449</v>
      </c>
      <c r="V20" s="314">
        <f>U20-T20</f>
        <v>0</v>
      </c>
    </row>
    <row r="21" spans="1:22" ht="18.75">
      <c r="A21" s="657"/>
      <c r="B21" s="515" t="s">
        <v>368</v>
      </c>
      <c r="C21" s="511">
        <v>223</v>
      </c>
      <c r="D21" s="519">
        <v>90000</v>
      </c>
      <c r="E21" s="519">
        <v>120000</v>
      </c>
      <c r="F21" s="519">
        <v>105019</v>
      </c>
      <c r="G21" s="518">
        <f t="shared" si="2"/>
        <v>315019</v>
      </c>
      <c r="H21" s="519">
        <v>150000</v>
      </c>
      <c r="I21" s="519">
        <v>44400</v>
      </c>
      <c r="J21" s="519">
        <v>44537</v>
      </c>
      <c r="K21" s="518">
        <f t="shared" si="3"/>
        <v>238937</v>
      </c>
      <c r="L21" s="519">
        <v>30000</v>
      </c>
      <c r="M21" s="519">
        <v>30000</v>
      </c>
      <c r="N21" s="519">
        <v>24623</v>
      </c>
      <c r="O21" s="518">
        <f t="shared" si="4"/>
        <v>84623</v>
      </c>
      <c r="P21" s="519">
        <v>30000</v>
      </c>
      <c r="Q21" s="519">
        <v>170000</v>
      </c>
      <c r="R21" s="519">
        <v>156991</v>
      </c>
      <c r="S21" s="518">
        <f t="shared" si="5"/>
        <v>356991</v>
      </c>
      <c r="T21" s="519">
        <f t="shared" si="1"/>
        <v>995570</v>
      </c>
      <c r="U21" s="314">
        <f>'свод '!F146</f>
        <v>995570</v>
      </c>
      <c r="V21" s="314">
        <f>U21-T21</f>
        <v>0</v>
      </c>
    </row>
    <row r="22" spans="1:22" ht="18.75">
      <c r="A22" s="657"/>
      <c r="B22" s="524" t="s">
        <v>372</v>
      </c>
      <c r="C22" s="511">
        <v>225</v>
      </c>
      <c r="D22" s="519"/>
      <c r="E22" s="519">
        <v>6600</v>
      </c>
      <c r="F22" s="519">
        <v>13455</v>
      </c>
      <c r="G22" s="518">
        <f t="shared" si="2"/>
        <v>20055</v>
      </c>
      <c r="H22" s="519">
        <v>7550</v>
      </c>
      <c r="I22" s="519">
        <v>7550</v>
      </c>
      <c r="J22" s="519">
        <v>7576</v>
      </c>
      <c r="K22" s="518">
        <f t="shared" si="3"/>
        <v>22676</v>
      </c>
      <c r="L22" s="519">
        <v>14200</v>
      </c>
      <c r="M22" s="519">
        <v>14200</v>
      </c>
      <c r="N22" s="519">
        <v>14225</v>
      </c>
      <c r="O22" s="518">
        <f t="shared" si="4"/>
        <v>42625</v>
      </c>
      <c r="P22" s="519">
        <v>7500</v>
      </c>
      <c r="Q22" s="519">
        <v>7500</v>
      </c>
      <c r="R22" s="519">
        <v>7676</v>
      </c>
      <c r="S22" s="518">
        <f t="shared" si="5"/>
        <v>22676</v>
      </c>
      <c r="T22" s="519">
        <f t="shared" si="1"/>
        <v>108032</v>
      </c>
      <c r="U22" s="314">
        <f>проверка!C17</f>
        <v>108032</v>
      </c>
      <c r="V22" s="314">
        <f>U22-T22</f>
        <v>0</v>
      </c>
    </row>
    <row r="23" spans="1:22" ht="18.75">
      <c r="A23" s="657"/>
      <c r="B23" s="515" t="s">
        <v>371</v>
      </c>
      <c r="C23" s="511">
        <v>226</v>
      </c>
      <c r="D23" s="519"/>
      <c r="E23" s="519">
        <v>3000</v>
      </c>
      <c r="F23" s="519">
        <v>9955</v>
      </c>
      <c r="G23" s="518">
        <f t="shared" si="2"/>
        <v>12955</v>
      </c>
      <c r="H23" s="519">
        <v>3285</v>
      </c>
      <c r="I23" s="519">
        <v>3285</v>
      </c>
      <c r="J23" s="519">
        <v>3285</v>
      </c>
      <c r="K23" s="518">
        <f t="shared" si="3"/>
        <v>9855</v>
      </c>
      <c r="L23" s="519">
        <v>57900</v>
      </c>
      <c r="M23" s="519">
        <v>57900</v>
      </c>
      <c r="N23" s="519">
        <v>57935</v>
      </c>
      <c r="O23" s="518">
        <f t="shared" si="4"/>
        <v>173735</v>
      </c>
      <c r="P23" s="519">
        <v>3285</v>
      </c>
      <c r="Q23" s="519">
        <v>3285</v>
      </c>
      <c r="R23" s="519">
        <v>3286</v>
      </c>
      <c r="S23" s="518">
        <f t="shared" si="5"/>
        <v>9856</v>
      </c>
      <c r="T23" s="519">
        <f t="shared" si="1"/>
        <v>206401</v>
      </c>
      <c r="U23" s="314">
        <f>проверка!C18</f>
        <v>206401</v>
      </c>
      <c r="V23" s="314">
        <f>U23-T23</f>
        <v>0</v>
      </c>
    </row>
    <row r="24" spans="1:22" ht="15.75" customHeight="1">
      <c r="A24" s="657"/>
      <c r="B24" s="511" t="s">
        <v>367</v>
      </c>
      <c r="C24" s="511">
        <v>290</v>
      </c>
      <c r="D24" s="519"/>
      <c r="E24" s="519">
        <v>29381</v>
      </c>
      <c r="F24" s="519">
        <v>29606</v>
      </c>
      <c r="G24" s="518">
        <f t="shared" si="2"/>
        <v>58987</v>
      </c>
      <c r="H24" s="519">
        <v>58987</v>
      </c>
      <c r="I24" s="519"/>
      <c r="J24" s="519"/>
      <c r="K24" s="518">
        <f t="shared" si="3"/>
        <v>58987</v>
      </c>
      <c r="L24" s="519">
        <v>61587</v>
      </c>
      <c r="M24" s="519"/>
      <c r="N24" s="519"/>
      <c r="O24" s="518">
        <f t="shared" si="4"/>
        <v>61587</v>
      </c>
      <c r="P24" s="519">
        <v>58986</v>
      </c>
      <c r="Q24" s="519"/>
      <c r="R24" s="519"/>
      <c r="S24" s="518">
        <f t="shared" si="5"/>
        <v>58986</v>
      </c>
      <c r="T24" s="519">
        <f t="shared" si="1"/>
        <v>238547</v>
      </c>
      <c r="U24" s="321">
        <f>'свод '!F157</f>
        <v>238547</v>
      </c>
      <c r="V24" s="314">
        <f>U24-T24</f>
        <v>0</v>
      </c>
    </row>
    <row r="25" spans="1:22" ht="15.75" customHeight="1">
      <c r="A25" s="657"/>
      <c r="B25" s="511" t="s">
        <v>189</v>
      </c>
      <c r="C25" s="511">
        <v>290</v>
      </c>
      <c r="D25" s="519"/>
      <c r="E25" s="519"/>
      <c r="F25" s="519"/>
      <c r="G25" s="518">
        <f t="shared" si="2"/>
        <v>0</v>
      </c>
      <c r="H25" s="519"/>
      <c r="I25" s="519"/>
      <c r="J25" s="519"/>
      <c r="K25" s="518">
        <f t="shared" si="3"/>
        <v>0</v>
      </c>
      <c r="L25" s="519"/>
      <c r="M25" s="519"/>
      <c r="N25" s="519"/>
      <c r="O25" s="518">
        <f t="shared" si="4"/>
        <v>0</v>
      </c>
      <c r="P25" s="519"/>
      <c r="Q25" s="519"/>
      <c r="R25" s="519"/>
      <c r="S25" s="518">
        <f t="shared" si="5"/>
        <v>0</v>
      </c>
      <c r="T25" s="519">
        <f t="shared" si="1"/>
        <v>0</v>
      </c>
      <c r="U25" s="321"/>
      <c r="V25" s="314"/>
    </row>
    <row r="26" spans="1:22" ht="18.75">
      <c r="A26" s="657"/>
      <c r="B26" s="522" t="s">
        <v>188</v>
      </c>
      <c r="C26" s="511">
        <v>340</v>
      </c>
      <c r="D26" s="519"/>
      <c r="E26" s="519"/>
      <c r="F26" s="519"/>
      <c r="G26" s="518">
        <f t="shared" si="2"/>
        <v>0</v>
      </c>
      <c r="H26" s="519"/>
      <c r="I26" s="519"/>
      <c r="J26" s="519"/>
      <c r="K26" s="518">
        <f t="shared" si="3"/>
        <v>0</v>
      </c>
      <c r="L26" s="519">
        <v>121125</v>
      </c>
      <c r="M26" s="519"/>
      <c r="N26" s="519"/>
      <c r="O26" s="518">
        <f t="shared" si="4"/>
        <v>121125</v>
      </c>
      <c r="P26" s="519">
        <v>56525</v>
      </c>
      <c r="Q26" s="519">
        <v>56525</v>
      </c>
      <c r="R26" s="519">
        <v>56525</v>
      </c>
      <c r="S26" s="518">
        <f t="shared" si="5"/>
        <v>169575</v>
      </c>
      <c r="T26" s="519">
        <f t="shared" si="1"/>
        <v>290700</v>
      </c>
      <c r="U26" s="314">
        <f>проверка!C20</f>
        <v>290700</v>
      </c>
      <c r="V26" s="314">
        <f>U26-T26</f>
        <v>0</v>
      </c>
    </row>
    <row r="27" spans="1:22" ht="18.75">
      <c r="A27" s="348"/>
      <c r="B27" s="515"/>
      <c r="C27" s="521"/>
      <c r="D27" s="514">
        <f>D19+D20+D21+D22+D23+D24+D25+D26</f>
        <v>91500</v>
      </c>
      <c r="E27" s="514">
        <f>E19+E20+E21+E22+E23+E24+E25+E26</f>
        <v>160481</v>
      </c>
      <c r="F27" s="514">
        <f>F19+F20+F21+F22+F23+F24+F25+F26</f>
        <v>160297</v>
      </c>
      <c r="G27" s="514">
        <f>D27+E27+F27</f>
        <v>412278</v>
      </c>
      <c r="H27" s="514">
        <f>H19+H20+H21+H22+H23+H24+H25+H26</f>
        <v>221522</v>
      </c>
      <c r="I27" s="514">
        <f>I19+I20+I21+I22+I23+I24+I25+I26</f>
        <v>56735</v>
      </c>
      <c r="J27" s="514">
        <f>J19+J20+J21+J22+J23+J24+J25+J26</f>
        <v>57660</v>
      </c>
      <c r="K27" s="514">
        <f>H27+I27+J27</f>
        <v>335917</v>
      </c>
      <c r="L27" s="514">
        <f>L19+L20+L21+L22+L23+L24+L25+L26</f>
        <v>286512</v>
      </c>
      <c r="M27" s="514">
        <f>M19+M20+M21+M22+M23+M24+M25+M26</f>
        <v>103600</v>
      </c>
      <c r="N27" s="514">
        <f>N19+N20+N21+N22+N23+N24+N25+N26</f>
        <v>99045</v>
      </c>
      <c r="O27" s="514">
        <f>L27+M27+N27</f>
        <v>489157</v>
      </c>
      <c r="P27" s="514">
        <f>P19+P20+P21+P22+P23+P24+P25+P26</f>
        <v>157996</v>
      </c>
      <c r="Q27" s="514">
        <f>Q19+Q20+Q21+Q22+Q23+Q24+Q25+Q26</f>
        <v>238810</v>
      </c>
      <c r="R27" s="514">
        <f>R19+R20+R21+R22+R23+R24+R25+R26</f>
        <v>226941</v>
      </c>
      <c r="S27" s="514">
        <f>P27+Q27+R27</f>
        <v>623747</v>
      </c>
      <c r="T27" s="514">
        <f t="shared" si="1"/>
        <v>1861099</v>
      </c>
      <c r="U27" s="314"/>
      <c r="V27" s="314"/>
    </row>
    <row r="28" spans="1:22" s="324" customFormat="1" ht="37.5">
      <c r="A28" s="349"/>
      <c r="B28" s="525" t="s">
        <v>186</v>
      </c>
      <c r="C28" s="526"/>
      <c r="D28" s="527">
        <f>D29+D30</f>
        <v>1485084</v>
      </c>
      <c r="E28" s="527">
        <f>E29+E30</f>
        <v>1485084</v>
      </c>
      <c r="F28" s="527">
        <f>F29+F30</f>
        <v>1489342</v>
      </c>
      <c r="G28" s="527">
        <f>G29+G30</f>
        <v>4459510</v>
      </c>
      <c r="H28" s="527">
        <f aca="true" t="shared" si="6" ref="H28:S28">H29+H30</f>
        <v>1561213</v>
      </c>
      <c r="I28" s="527">
        <f t="shared" si="6"/>
        <v>2227627</v>
      </c>
      <c r="J28" s="527">
        <f t="shared" si="6"/>
        <v>1489342</v>
      </c>
      <c r="K28" s="527">
        <f t="shared" si="6"/>
        <v>5278182</v>
      </c>
      <c r="L28" s="527">
        <f t="shared" si="6"/>
        <v>1039559</v>
      </c>
      <c r="M28" s="527">
        <f t="shared" si="6"/>
        <v>1188067</v>
      </c>
      <c r="N28" s="527">
        <f t="shared" si="6"/>
        <v>1489343</v>
      </c>
      <c r="O28" s="527">
        <f t="shared" si="6"/>
        <v>3716969</v>
      </c>
      <c r="P28" s="527">
        <f t="shared" si="6"/>
        <v>1485084</v>
      </c>
      <c r="Q28" s="527">
        <f t="shared" si="6"/>
        <v>1517711</v>
      </c>
      <c r="R28" s="527">
        <f t="shared" si="6"/>
        <v>1485073</v>
      </c>
      <c r="S28" s="527">
        <f t="shared" si="6"/>
        <v>4487868</v>
      </c>
      <c r="T28" s="527">
        <f>G28+K28+O28+S28</f>
        <v>17942529</v>
      </c>
      <c r="U28" s="323"/>
      <c r="V28" s="323"/>
    </row>
    <row r="29" spans="2:22" s="448" customFormat="1" ht="18.75">
      <c r="B29" s="528" t="s">
        <v>369</v>
      </c>
      <c r="C29" s="528"/>
      <c r="D29" s="529">
        <f>D5+D7+D10+D11</f>
        <v>745829.38</v>
      </c>
      <c r="E29" s="529">
        <f>E5+E7+E10+E11</f>
        <v>745829.38</v>
      </c>
      <c r="F29" s="529">
        <f>F5+F7+F10+F11</f>
        <v>750087.38</v>
      </c>
      <c r="G29" s="529">
        <f>SUM(D29:F29)</f>
        <v>2241746.14</v>
      </c>
      <c r="H29" s="529">
        <f>H5+H7+H10+H11</f>
        <v>821958.38</v>
      </c>
      <c r="I29" s="529">
        <f>I5+I7+I10+I11</f>
        <v>1118744</v>
      </c>
      <c r="J29" s="529">
        <f>J5+J7+J10+J11</f>
        <v>750087.38</v>
      </c>
      <c r="K29" s="529">
        <f>SUM(H29:J29)</f>
        <v>2690789.76</v>
      </c>
      <c r="L29" s="529">
        <f>L5+L7+L10+L11</f>
        <v>522079</v>
      </c>
      <c r="M29" s="529">
        <f>M5+M7+M10+M11</f>
        <v>596662</v>
      </c>
      <c r="N29" s="529">
        <f>N5+N7+N10+N11</f>
        <v>750087.38</v>
      </c>
      <c r="O29" s="529">
        <f>SUM(L29:N29)</f>
        <v>1868828.38</v>
      </c>
      <c r="P29" s="529">
        <f>P5+P7+P10+P11</f>
        <v>745829.38</v>
      </c>
      <c r="Q29" s="529">
        <f>Q5+Q7+Q10+Q11</f>
        <v>760746</v>
      </c>
      <c r="R29" s="529">
        <f>R5+R7+R10+R11</f>
        <v>763539.0700000001</v>
      </c>
      <c r="S29" s="529">
        <f>SUM(P29:R29)</f>
        <v>2270114.45</v>
      </c>
      <c r="T29" s="530">
        <f>G29+K29+O29+S29</f>
        <v>9071478.73</v>
      </c>
      <c r="U29" s="450">
        <f>'свод '!F20</f>
        <v>9071478.73</v>
      </c>
      <c r="V29" s="450">
        <f>U29-T29</f>
        <v>0</v>
      </c>
    </row>
    <row r="30" spans="2:22" s="454" customFormat="1" ht="18.75">
      <c r="B30" s="531" t="s">
        <v>370</v>
      </c>
      <c r="C30" s="531"/>
      <c r="D30" s="532">
        <f>D6+D8</f>
        <v>739254.62</v>
      </c>
      <c r="E30" s="532">
        <f>E6+E8</f>
        <v>739254.62</v>
      </c>
      <c r="F30" s="532">
        <f>F6+F8</f>
        <v>739254.62</v>
      </c>
      <c r="G30" s="532">
        <f>SUM(D30:F30)</f>
        <v>2217763.86</v>
      </c>
      <c r="H30" s="532">
        <f>H6+H8</f>
        <v>739254.62</v>
      </c>
      <c r="I30" s="532">
        <f>I6+I8</f>
        <v>1108883</v>
      </c>
      <c r="J30" s="532">
        <f>J6+J8</f>
        <v>739254.62</v>
      </c>
      <c r="K30" s="532">
        <f>SUM(H30:J30)</f>
        <v>2587392.24</v>
      </c>
      <c r="L30" s="532">
        <f>L6+L8</f>
        <v>517480</v>
      </c>
      <c r="M30" s="532">
        <f>M6+M8</f>
        <v>591405</v>
      </c>
      <c r="N30" s="532">
        <f>N6+N8</f>
        <v>739255.62</v>
      </c>
      <c r="O30" s="532">
        <f>SUM(L30:N30)</f>
        <v>1848140.62</v>
      </c>
      <c r="P30" s="532">
        <f>P6+P8</f>
        <v>739254.62</v>
      </c>
      <c r="Q30" s="532">
        <f>Q6+Q8</f>
        <v>756965</v>
      </c>
      <c r="R30" s="532">
        <f>R6+R8</f>
        <v>721533.9299999999</v>
      </c>
      <c r="S30" s="532">
        <f>SUM(P30:R30)</f>
        <v>2217753.55</v>
      </c>
      <c r="T30" s="533">
        <f>G30+K30+O30+S30</f>
        <v>8871050.27</v>
      </c>
      <c r="U30" s="456">
        <f>'свод '!F36+'свод '!F37</f>
        <v>8871050.266242135</v>
      </c>
      <c r="V30" s="456">
        <f>T30-U30</f>
        <v>0.003757864236831665</v>
      </c>
    </row>
    <row r="31" spans="2:22" s="324" customFormat="1" ht="18.75">
      <c r="B31" s="526" t="s">
        <v>187</v>
      </c>
      <c r="C31" s="526"/>
      <c r="D31" s="534">
        <f>D34+D33+D32</f>
        <v>115934</v>
      </c>
      <c r="E31" s="534">
        <f>E34+E33+E32</f>
        <v>238829</v>
      </c>
      <c r="F31" s="534">
        <f>F34+F33+F32</f>
        <v>238924</v>
      </c>
      <c r="G31" s="534">
        <f>D31+E31+F31</f>
        <v>593687</v>
      </c>
      <c r="H31" s="534">
        <f>H34+H33+H32</f>
        <v>300148</v>
      </c>
      <c r="I31" s="534">
        <f>I34+I33+I32</f>
        <v>135361</v>
      </c>
      <c r="J31" s="534">
        <f>J34+J33+J32</f>
        <v>136287</v>
      </c>
      <c r="K31" s="534">
        <f>H31+I31+J31</f>
        <v>571796</v>
      </c>
      <c r="L31" s="534">
        <f>L34+L33+L32</f>
        <v>365138</v>
      </c>
      <c r="M31" s="534">
        <f>M34+M33+M32</f>
        <v>182226</v>
      </c>
      <c r="N31" s="534">
        <f>N34+N33+N32</f>
        <v>177672</v>
      </c>
      <c r="O31" s="534">
        <f>L31+M31+N31</f>
        <v>725036</v>
      </c>
      <c r="P31" s="534">
        <f>P34+P33+P32</f>
        <v>236622</v>
      </c>
      <c r="Q31" s="534">
        <f>Q34+Q33+Q32</f>
        <v>317436</v>
      </c>
      <c r="R31" s="534">
        <f>R34+R33+R32</f>
        <v>360040</v>
      </c>
      <c r="S31" s="534">
        <f>P31+Q31+R31</f>
        <v>914098</v>
      </c>
      <c r="T31" s="535">
        <f>G31+K31+O31+S31</f>
        <v>2804617</v>
      </c>
      <c r="U31" s="323"/>
      <c r="V31" s="314">
        <f>T31-U31</f>
        <v>2804617</v>
      </c>
    </row>
    <row r="32" spans="2:22" s="451" customFormat="1" ht="18.75">
      <c r="B32" s="528" t="s">
        <v>369</v>
      </c>
      <c r="C32" s="536"/>
      <c r="D32" s="537">
        <f>D14+D16</f>
        <v>0</v>
      </c>
      <c r="E32" s="537">
        <f>E14+E16</f>
        <v>0</v>
      </c>
      <c r="F32" s="537">
        <f>F14+F16</f>
        <v>0</v>
      </c>
      <c r="G32" s="537">
        <f>D32+E32+F32</f>
        <v>0</v>
      </c>
      <c r="H32" s="537">
        <f>H14+H16</f>
        <v>0</v>
      </c>
      <c r="I32" s="537">
        <f>I14+I16</f>
        <v>0</v>
      </c>
      <c r="J32" s="537">
        <f>J14+J16</f>
        <v>0</v>
      </c>
      <c r="K32" s="537">
        <f>H32+I32+J32</f>
        <v>0</v>
      </c>
      <c r="L32" s="537">
        <f>L14+L16</f>
        <v>0</v>
      </c>
      <c r="M32" s="537">
        <f>M14+M16</f>
        <v>0</v>
      </c>
      <c r="N32" s="537">
        <f>N14+N16</f>
        <v>0</v>
      </c>
      <c r="O32" s="537">
        <f>L32+M32+N32</f>
        <v>0</v>
      </c>
      <c r="P32" s="537">
        <f>P14+P16</f>
        <v>0</v>
      </c>
      <c r="Q32" s="537">
        <f>Q14+Q16</f>
        <v>0</v>
      </c>
      <c r="R32" s="537">
        <f>R14+R16</f>
        <v>0</v>
      </c>
      <c r="S32" s="537">
        <f>P32+Q32+R32</f>
        <v>0</v>
      </c>
      <c r="T32" s="530">
        <f>G32+K32+O32+S32</f>
        <v>0</v>
      </c>
      <c r="U32" s="453">
        <f>'свод '!F26</f>
        <v>0</v>
      </c>
      <c r="V32" s="450">
        <f>T32-U32</f>
        <v>0</v>
      </c>
    </row>
    <row r="33" spans="2:22" s="454" customFormat="1" ht="18.75">
      <c r="B33" s="531" t="s">
        <v>370</v>
      </c>
      <c r="C33" s="531"/>
      <c r="D33" s="532">
        <f>D19+D20+D21+D22+D23+D25+D26+D15+D17</f>
        <v>115934</v>
      </c>
      <c r="E33" s="532">
        <f>E19+E20+E21+E22+E23+E25+E26+E15+E17</f>
        <v>209448</v>
      </c>
      <c r="F33" s="532">
        <f>F19+F20+F21+F22+F23+F25+F26+F15+F17</f>
        <v>209318</v>
      </c>
      <c r="G33" s="532">
        <f>SUM(D33:F33)</f>
        <v>534700</v>
      </c>
      <c r="H33" s="532">
        <f>H19+H20+H21+H22+H23+H25+H26+H15+H17</f>
        <v>241161</v>
      </c>
      <c r="I33" s="532">
        <f>I19+I20+I21+I22+I23+I25+I26+I15+I17</f>
        <v>135361</v>
      </c>
      <c r="J33" s="532">
        <f>J19+J20+J21+J22+J23+J25+J26+J15+J17</f>
        <v>136287</v>
      </c>
      <c r="K33" s="532">
        <f>SUM(H33:J33)</f>
        <v>512809</v>
      </c>
      <c r="L33" s="532">
        <f>L19+L20+L21+L22+L23+L25+L26+L15+L17</f>
        <v>303551</v>
      </c>
      <c r="M33" s="532">
        <f>M19+M20+M21+M22+M23+M25+M26+M15+M17</f>
        <v>182226</v>
      </c>
      <c r="N33" s="532">
        <f>N19+N20+N21+N22+N23+N25+N26+N15+N17</f>
        <v>177672</v>
      </c>
      <c r="O33" s="532">
        <f>SUM(L33:N33)</f>
        <v>663449</v>
      </c>
      <c r="P33" s="532">
        <f>P19+P20+P21+P22+P23+P25+P26+P15+P17</f>
        <v>177636</v>
      </c>
      <c r="Q33" s="532">
        <f>Q19+Q20+Q21+Q22+Q23+Q25+Q26+Q15+Q17</f>
        <v>317436</v>
      </c>
      <c r="R33" s="532">
        <f>R19+R20+R21+R22+R23+R25+R26+R15+R17</f>
        <v>360040</v>
      </c>
      <c r="S33" s="532">
        <f>SUM(P33:R33)</f>
        <v>855112</v>
      </c>
      <c r="T33" s="533">
        <f>S33+O33+K33+G33</f>
        <v>2566070</v>
      </c>
      <c r="U33" s="456">
        <f>'свод '!F46+'свод '!F75+'свод '!F103+'свод '!F117+'свод '!F146+'свод '!F40+'свод '!F41+'свод '!F42+'свод '!F130</f>
        <v>2566070</v>
      </c>
      <c r="V33" s="456">
        <f>U33-T33</f>
        <v>0</v>
      </c>
    </row>
    <row r="34" spans="2:22" ht="18.75">
      <c r="B34" s="511" t="s">
        <v>366</v>
      </c>
      <c r="C34" s="511"/>
      <c r="D34" s="538">
        <f>D24</f>
        <v>0</v>
      </c>
      <c r="E34" s="538">
        <f>E24</f>
        <v>29381</v>
      </c>
      <c r="F34" s="538">
        <f>F24</f>
        <v>29606</v>
      </c>
      <c r="G34" s="538">
        <f>SUM(D34:F34)</f>
        <v>58987</v>
      </c>
      <c r="H34" s="538">
        <f>H24</f>
        <v>58987</v>
      </c>
      <c r="I34" s="538">
        <f>I24</f>
        <v>0</v>
      </c>
      <c r="J34" s="538">
        <f>J24</f>
        <v>0</v>
      </c>
      <c r="K34" s="538">
        <f>SUM(H34:J34)</f>
        <v>58987</v>
      </c>
      <c r="L34" s="538">
        <f>L24</f>
        <v>61587</v>
      </c>
      <c r="M34" s="538">
        <f>M24</f>
        <v>0</v>
      </c>
      <c r="N34" s="538">
        <f>N24</f>
        <v>0</v>
      </c>
      <c r="O34" s="538">
        <f>SUM(L34:N34)</f>
        <v>61587</v>
      </c>
      <c r="P34" s="538">
        <f>P24</f>
        <v>58986</v>
      </c>
      <c r="Q34" s="538">
        <f>Q24</f>
        <v>0</v>
      </c>
      <c r="R34" s="538">
        <f>R24</f>
        <v>0</v>
      </c>
      <c r="S34" s="538">
        <f>SUM(P34:R34)</f>
        <v>58986</v>
      </c>
      <c r="T34" s="535">
        <f>S34+O34+K34+G34</f>
        <v>238547</v>
      </c>
      <c r="U34" s="314">
        <f>'свод '!F157</f>
        <v>238547</v>
      </c>
      <c r="V34" s="314">
        <f>U34-T34</f>
        <v>0</v>
      </c>
    </row>
    <row r="35" spans="2:22" s="328" customFormat="1" ht="18.75">
      <c r="B35" s="511" t="s">
        <v>365</v>
      </c>
      <c r="C35" s="511"/>
      <c r="D35" s="529">
        <f>D34+D29+D33+D30</f>
        <v>1601018</v>
      </c>
      <c r="E35" s="529">
        <f>E34+E29+E33+E30</f>
        <v>1723913</v>
      </c>
      <c r="F35" s="529">
        <f>F34+F29+F33+F30</f>
        <v>1728266</v>
      </c>
      <c r="G35" s="529">
        <f>D35+E35+F35</f>
        <v>5053197</v>
      </c>
      <c r="H35" s="529">
        <f>H34+H29+H33+H30</f>
        <v>1861361</v>
      </c>
      <c r="I35" s="529">
        <f>I34+I29+I33+I30</f>
        <v>2362988</v>
      </c>
      <c r="J35" s="529">
        <f>J34+J29+J33+J30</f>
        <v>1625629</v>
      </c>
      <c r="K35" s="529">
        <f>H35+I35+J35</f>
        <v>5849978</v>
      </c>
      <c r="L35" s="529">
        <f>L34+L29+L33+L30</f>
        <v>1404697</v>
      </c>
      <c r="M35" s="529">
        <f>M34+M29+M33+M30</f>
        <v>1370293</v>
      </c>
      <c r="N35" s="529">
        <f>N34+N29+N33+N30</f>
        <v>1667015</v>
      </c>
      <c r="O35" s="529">
        <f>L35+M35+N35</f>
        <v>4442005</v>
      </c>
      <c r="P35" s="529">
        <f>P34+P29+P33+P30</f>
        <v>1721706</v>
      </c>
      <c r="Q35" s="529">
        <f>Q34+Q29+Q33+Q30</f>
        <v>1835147</v>
      </c>
      <c r="R35" s="529">
        <f>R34+R29+R33+R30</f>
        <v>1845113</v>
      </c>
      <c r="S35" s="529">
        <f>P35+Q35+R35</f>
        <v>5401966</v>
      </c>
      <c r="T35" s="530">
        <f>S35+O35+K35+G35</f>
        <v>20747146</v>
      </c>
      <c r="U35" s="327">
        <f>'свод '!F158</f>
        <v>20747145.996242136</v>
      </c>
      <c r="V35" s="314">
        <f>U35-T35</f>
        <v>-0.003757864236831665</v>
      </c>
    </row>
    <row r="36" spans="2:20" ht="18.75">
      <c r="B36" s="539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</row>
    <row r="37" spans="2:20" ht="18.75"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</row>
    <row r="38" spans="2:21" ht="18.75">
      <c r="B38" s="539"/>
      <c r="C38" s="539"/>
      <c r="D38" s="539"/>
      <c r="E38" s="539"/>
      <c r="F38" s="539"/>
      <c r="G38" s="540">
        <f>G35-G37</f>
        <v>5053197</v>
      </c>
      <c r="H38" s="539"/>
      <c r="I38" s="539"/>
      <c r="J38" s="539"/>
      <c r="K38" s="540">
        <f>K35-K37</f>
        <v>5849978</v>
      </c>
      <c r="L38" s="539"/>
      <c r="M38" s="539"/>
      <c r="N38" s="539"/>
      <c r="O38" s="540">
        <f>O35-O37</f>
        <v>4442005</v>
      </c>
      <c r="P38" s="539"/>
      <c r="Q38" s="539"/>
      <c r="R38" s="539"/>
      <c r="S38" s="540">
        <f>S35-S37</f>
        <v>5401966</v>
      </c>
      <c r="T38" s="539"/>
      <c r="U38" s="314"/>
    </row>
    <row r="39" spans="2:21" ht="18.75">
      <c r="B39" s="539"/>
      <c r="C39" s="539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39"/>
      <c r="U39" s="314"/>
    </row>
    <row r="40" spans="2:21" ht="18.75">
      <c r="B40" s="539"/>
      <c r="C40" s="541"/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40">
        <f>G38+K38+O38</f>
        <v>15345180</v>
      </c>
      <c r="P40" s="539"/>
      <c r="Q40" s="539"/>
      <c r="R40" s="539"/>
      <c r="S40" s="539"/>
      <c r="T40" s="539"/>
      <c r="U40" s="314"/>
    </row>
    <row r="41" spans="2:20" ht="18.75">
      <c r="B41" s="541" t="s">
        <v>450</v>
      </c>
      <c r="C41" s="539"/>
      <c r="D41" s="539" t="s">
        <v>220</v>
      </c>
      <c r="E41" s="539"/>
      <c r="F41" s="539"/>
      <c r="G41" s="539"/>
      <c r="H41" s="539"/>
      <c r="I41" s="656"/>
      <c r="J41" s="656"/>
      <c r="K41" s="539"/>
      <c r="L41" s="539"/>
      <c r="M41" s="539"/>
      <c r="N41" s="539"/>
      <c r="O41" s="539"/>
      <c r="P41" s="539"/>
      <c r="Q41" s="539"/>
      <c r="R41" s="539"/>
      <c r="S41" s="539"/>
      <c r="T41" s="539"/>
    </row>
    <row r="42" spans="2:20" ht="18.75"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</row>
    <row r="43" spans="2:20" ht="18.75">
      <c r="B43" s="539" t="s">
        <v>451</v>
      </c>
      <c r="C43" s="539"/>
      <c r="D43" s="539" t="s">
        <v>221</v>
      </c>
      <c r="E43" s="539"/>
      <c r="F43" s="539"/>
      <c r="G43" s="539"/>
      <c r="H43" s="539"/>
      <c r="I43" s="656"/>
      <c r="J43" s="656"/>
      <c r="K43" s="539"/>
      <c r="L43" s="539"/>
      <c r="M43" s="539"/>
      <c r="N43" s="539"/>
      <c r="O43" s="539"/>
      <c r="P43" s="539"/>
      <c r="Q43" s="539"/>
      <c r="R43" s="539"/>
      <c r="S43" s="539"/>
      <c r="T43" s="539"/>
    </row>
    <row r="44" spans="2:20" ht="18.75"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</row>
  </sheetData>
  <sheetProtection/>
  <mergeCells count="7">
    <mergeCell ref="I43:J43"/>
    <mergeCell ref="A4:A12"/>
    <mergeCell ref="A16:A26"/>
    <mergeCell ref="B1:T1"/>
    <mergeCell ref="C2:C3"/>
    <mergeCell ref="D2:S2"/>
    <mergeCell ref="I41:J41"/>
  </mergeCells>
  <printOptions/>
  <pageMargins left="0" right="0" top="0" bottom="0" header="0.31496062992125984" footer="0.3149606299212598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75"/>
  <sheetViews>
    <sheetView tabSelected="1" view="pageBreakPreview" zoomScaleSheetLayoutView="100" zoomScalePageLayoutView="0" workbookViewId="0" topLeftCell="E4">
      <selection activeCell="H50" sqref="H50"/>
    </sheetView>
  </sheetViews>
  <sheetFormatPr defaultColWidth="9.00390625" defaultRowHeight="12.75"/>
  <cols>
    <col min="1" max="1" width="2.00390625" style="0" bestFit="1" customWidth="1"/>
    <col min="2" max="2" width="15.625" style="0" customWidth="1"/>
    <col min="3" max="3" width="15.25390625" style="2" customWidth="1"/>
    <col min="4" max="4" width="14.75390625" style="2" customWidth="1"/>
    <col min="5" max="5" width="12.75390625" style="2" customWidth="1"/>
    <col min="6" max="6" width="11.75390625" style="2" customWidth="1"/>
    <col min="7" max="7" width="12.125" style="2" customWidth="1"/>
    <col min="8" max="8" width="12.00390625" style="2" customWidth="1"/>
    <col min="9" max="9" width="12.875" style="2" customWidth="1"/>
    <col min="10" max="10" width="10.75390625" style="2" customWidth="1"/>
    <col min="11" max="11" width="18.25390625" style="2" bestFit="1" customWidth="1"/>
    <col min="12" max="12" width="10.00390625" style="2" customWidth="1"/>
    <col min="13" max="13" width="12.375" style="0" bestFit="1" customWidth="1"/>
    <col min="14" max="15" width="9.25390625" style="0" bestFit="1" customWidth="1"/>
    <col min="17" max="17" width="12.625" style="0" customWidth="1"/>
  </cols>
  <sheetData>
    <row r="1" spans="8:9" ht="12.75">
      <c r="H1" s="663" t="s">
        <v>330</v>
      </c>
      <c r="I1" s="663"/>
    </row>
    <row r="2" spans="3:12" s="5" customFormat="1" ht="35.25" customHeight="1">
      <c r="C2" s="664" t="s">
        <v>239</v>
      </c>
      <c r="D2" s="664"/>
      <c r="E2" s="664"/>
      <c r="F2" s="664"/>
      <c r="G2" s="664"/>
      <c r="H2" s="664"/>
      <c r="I2" s="664"/>
      <c r="J2" s="4"/>
      <c r="K2" s="4"/>
      <c r="L2" s="4"/>
    </row>
    <row r="3" spans="3:12" s="8" customFormat="1" ht="20.25" customHeight="1">
      <c r="C3" s="6"/>
      <c r="D3" s="6"/>
      <c r="E3" s="6"/>
      <c r="F3" s="6"/>
      <c r="G3" s="6"/>
      <c r="H3" s="667"/>
      <c r="I3" s="667"/>
      <c r="J3" s="7"/>
      <c r="K3" s="7"/>
      <c r="L3" s="7"/>
    </row>
    <row r="4" spans="3:12" s="8" customFormat="1" ht="47.25" customHeight="1" thickBot="1">
      <c r="C4" s="665" t="s">
        <v>206</v>
      </c>
      <c r="D4" s="665"/>
      <c r="E4" s="665"/>
      <c r="F4" s="665"/>
      <c r="G4" s="665"/>
      <c r="H4" s="665"/>
      <c r="I4" s="665"/>
      <c r="J4" s="7"/>
      <c r="K4" s="7"/>
      <c r="L4" s="7"/>
    </row>
    <row r="5" spans="2:22" s="8" customFormat="1" ht="38.25">
      <c r="B5" s="279" t="s">
        <v>154</v>
      </c>
      <c r="C5" s="43" t="s">
        <v>155</v>
      </c>
      <c r="D5" s="43" t="s">
        <v>156</v>
      </c>
      <c r="E5" s="43" t="s">
        <v>235</v>
      </c>
      <c r="F5" s="43" t="s">
        <v>236</v>
      </c>
      <c r="G5" s="43" t="s">
        <v>237</v>
      </c>
      <c r="H5" s="44" t="s">
        <v>238</v>
      </c>
      <c r="I5" s="7"/>
      <c r="J5" s="7"/>
      <c r="T5" s="375"/>
      <c r="U5" s="375"/>
      <c r="V5" s="375"/>
    </row>
    <row r="6" spans="2:22" s="8" customFormat="1" ht="42" customHeight="1">
      <c r="B6" s="9">
        <f>M9</f>
        <v>24</v>
      </c>
      <c r="C6" s="9">
        <f>P9</f>
        <v>12765.64</v>
      </c>
      <c r="D6" s="9">
        <f>Q9</f>
        <v>1.869710936620003</v>
      </c>
      <c r="E6" s="9">
        <v>12</v>
      </c>
      <c r="F6" s="9">
        <v>1</v>
      </c>
      <c r="G6" s="280">
        <f>ROUND((B6*C6*D6*E6*F6),2)+0.22</f>
        <v>6874000.56</v>
      </c>
      <c r="H6" s="281">
        <f>ROUND(G6*30.2%,2)</f>
        <v>2075948.17</v>
      </c>
      <c r="I6" s="7"/>
      <c r="J6" s="660" t="s">
        <v>212</v>
      </c>
      <c r="K6" s="660"/>
      <c r="T6" s="375"/>
      <c r="U6" s="375"/>
      <c r="V6" s="375"/>
    </row>
    <row r="7" spans="2:22" s="8" customFormat="1" ht="19.5" customHeight="1">
      <c r="B7" s="9">
        <f>M13</f>
        <v>24</v>
      </c>
      <c r="C7" s="9">
        <f>P13</f>
        <v>12765.64</v>
      </c>
      <c r="D7" s="9">
        <f>Q13</f>
        <v>1.869710936620003</v>
      </c>
      <c r="E7" s="9"/>
      <c r="F7" s="9">
        <v>1</v>
      </c>
      <c r="G7" s="280">
        <f>ROUND((B7*C7*D7*E7*F7),2)</f>
        <v>0</v>
      </c>
      <c r="H7" s="281">
        <f>ROUND(G7*30.2%,2)</f>
        <v>0</v>
      </c>
      <c r="I7" s="7"/>
      <c r="J7" s="293"/>
      <c r="K7" s="9"/>
      <c r="L7" s="293" t="s">
        <v>161</v>
      </c>
      <c r="M7" s="293" t="s">
        <v>165</v>
      </c>
      <c r="N7" s="293" t="s">
        <v>162</v>
      </c>
      <c r="O7" s="293" t="s">
        <v>163</v>
      </c>
      <c r="P7" s="293"/>
      <c r="Q7" s="293"/>
      <c r="T7" s="375"/>
      <c r="U7" s="375"/>
      <c r="V7" s="375"/>
    </row>
    <row r="8" spans="2:22" s="8" customFormat="1" ht="18" customHeight="1" thickBot="1">
      <c r="B8" s="282">
        <f>M17</f>
        <v>24</v>
      </c>
      <c r="C8" s="283">
        <f>P17</f>
        <v>12765.64</v>
      </c>
      <c r="D8" s="282">
        <f>Q17</f>
        <v>1.869710936620003</v>
      </c>
      <c r="E8" s="48"/>
      <c r="F8" s="48">
        <v>1</v>
      </c>
      <c r="G8" s="280">
        <f>ROUND((B8*C8*D8*E8*F8),2)</f>
        <v>0</v>
      </c>
      <c r="H8" s="281">
        <f>ROUND(G8*30.2%,2)</f>
        <v>0</v>
      </c>
      <c r="I8" s="7"/>
      <c r="J8" s="293">
        <v>1</v>
      </c>
      <c r="K8" s="9" t="s">
        <v>313</v>
      </c>
      <c r="L8" s="341">
        <v>1140617</v>
      </c>
      <c r="M8" s="341">
        <v>58</v>
      </c>
      <c r="N8" s="293">
        <f>L8-O8</f>
        <v>612272.85</v>
      </c>
      <c r="O8" s="341">
        <f>165479.01+155979+206886.14</f>
        <v>528344.15</v>
      </c>
      <c r="P8" s="293"/>
      <c r="Q8" s="293"/>
      <c r="T8" s="375"/>
      <c r="U8" s="375"/>
      <c r="V8" s="375"/>
    </row>
    <row r="9" spans="2:22" s="8" customFormat="1" ht="13.5" thickBot="1">
      <c r="B9" s="7"/>
      <c r="C9" s="7"/>
      <c r="D9" s="7"/>
      <c r="E9" s="7"/>
      <c r="F9" s="7"/>
      <c r="G9" s="286">
        <f>SUM(G6:G8)</f>
        <v>6874000.56</v>
      </c>
      <c r="H9" s="287">
        <f>SUM(H6:H8)</f>
        <v>2075948.17</v>
      </c>
      <c r="I9" s="7"/>
      <c r="J9" s="293"/>
      <c r="K9" s="293" t="s">
        <v>164</v>
      </c>
      <c r="L9" s="293">
        <f>O9+N9</f>
        <v>572833.38</v>
      </c>
      <c r="M9" s="341">
        <v>24</v>
      </c>
      <c r="N9" s="341">
        <v>306375.37</v>
      </c>
      <c r="O9" s="341">
        <v>266458.01</v>
      </c>
      <c r="P9" s="293">
        <f>ROUND(N9/M9,2)</f>
        <v>12765.64</v>
      </c>
      <c r="Q9" s="293">
        <f>O9/N9+1</f>
        <v>1.869710936620003</v>
      </c>
      <c r="R9" s="8">
        <f>N9/66</f>
        <v>4642.051060606061</v>
      </c>
      <c r="T9" s="375"/>
      <c r="U9" s="375"/>
      <c r="V9" s="375"/>
    </row>
    <row r="10" spans="3:22" s="8" customFormat="1" ht="12.75">
      <c r="C10" s="7"/>
      <c r="D10" s="7"/>
      <c r="E10" s="7"/>
      <c r="F10" s="7"/>
      <c r="G10" s="7"/>
      <c r="H10" s="143"/>
      <c r="I10" s="7"/>
      <c r="J10" s="293"/>
      <c r="K10" s="293" t="s">
        <v>361</v>
      </c>
      <c r="L10" s="293">
        <f>L8-L9</f>
        <v>567783.62</v>
      </c>
      <c r="M10" s="293">
        <f>M8-M9</f>
        <v>34</v>
      </c>
      <c r="N10" s="293">
        <f>N8-N9</f>
        <v>305897.48</v>
      </c>
      <c r="O10" s="293">
        <f>O8-O9</f>
        <v>261886.14</v>
      </c>
      <c r="P10" s="293">
        <f>ROUND(N10/M10,2)</f>
        <v>8996.98</v>
      </c>
      <c r="Q10" s="293">
        <f>O10/N10+1</f>
        <v>1.8561238883040163</v>
      </c>
      <c r="T10" s="375"/>
      <c r="U10" s="375"/>
      <c r="V10" s="375"/>
    </row>
    <row r="11" spans="3:22" s="8" customFormat="1" ht="13.5" thickBot="1">
      <c r="C11" s="7"/>
      <c r="D11" s="7"/>
      <c r="E11" s="7"/>
      <c r="F11" s="7"/>
      <c r="G11" s="7"/>
      <c r="H11" s="7"/>
      <c r="I11" s="7"/>
      <c r="J11" s="9"/>
      <c r="K11" s="293"/>
      <c r="L11" s="293"/>
      <c r="M11" s="293"/>
      <c r="N11" s="293"/>
      <c r="O11" s="293"/>
      <c r="P11" s="293"/>
      <c r="Q11" s="293"/>
      <c r="T11" s="375"/>
      <c r="U11" s="375"/>
      <c r="V11" s="375"/>
    </row>
    <row r="12" spans="2:22" s="8" customFormat="1" ht="102" thickBot="1">
      <c r="B12" s="359"/>
      <c r="C12" s="50" t="s">
        <v>284</v>
      </c>
      <c r="D12" s="43" t="s">
        <v>285</v>
      </c>
      <c r="E12" s="43"/>
      <c r="F12" s="51" t="s">
        <v>286</v>
      </c>
      <c r="G12" s="7"/>
      <c r="H12" s="7"/>
      <c r="I12" s="143"/>
      <c r="J12" s="9">
        <v>2</v>
      </c>
      <c r="K12" s="9" t="s">
        <v>313</v>
      </c>
      <c r="L12" s="341">
        <v>1140617</v>
      </c>
      <c r="M12" s="341">
        <v>58</v>
      </c>
      <c r="N12" s="293">
        <f>L12-O12</f>
        <v>612272.85</v>
      </c>
      <c r="O12" s="341">
        <v>528344.15</v>
      </c>
      <c r="P12" s="293"/>
      <c r="Q12" s="293"/>
      <c r="T12" s="375"/>
      <c r="U12" s="375"/>
      <c r="V12" s="375"/>
    </row>
    <row r="13" spans="2:22" s="8" customFormat="1" ht="12.75">
      <c r="B13" s="360" t="s">
        <v>190</v>
      </c>
      <c r="C13" s="45">
        <f>F13/D13</f>
        <v>318</v>
      </c>
      <c r="D13" s="9">
        <f>'мун.задание'!P73</f>
        <v>342</v>
      </c>
      <c r="E13" s="9"/>
      <c r="F13" s="281">
        <f>проверка!B10</f>
        <v>108756</v>
      </c>
      <c r="G13" s="7"/>
      <c r="H13" s="7"/>
      <c r="I13" s="143"/>
      <c r="J13" s="280"/>
      <c r="K13" s="293" t="s">
        <v>164</v>
      </c>
      <c r="L13" s="445">
        <f>O13+N13</f>
        <v>572833.38</v>
      </c>
      <c r="M13" s="341">
        <v>24</v>
      </c>
      <c r="N13" s="341">
        <v>306375.37</v>
      </c>
      <c r="O13" s="341">
        <v>266458.01</v>
      </c>
      <c r="P13" s="293">
        <f>ROUND(N13/M13,2)</f>
        <v>12765.64</v>
      </c>
      <c r="Q13" s="293">
        <f>O13/N13+1</f>
        <v>1.869710936620003</v>
      </c>
      <c r="T13" s="375"/>
      <c r="U13" s="375"/>
      <c r="V13" s="375"/>
    </row>
    <row r="14" spans="2:22" s="8" customFormat="1" ht="51.75" thickBot="1">
      <c r="B14" s="47" t="s">
        <v>194</v>
      </c>
      <c r="C14" s="358">
        <f>ROUND(F14/D14,2)</f>
        <v>37.35</v>
      </c>
      <c r="D14" s="48">
        <f>D13</f>
        <v>342</v>
      </c>
      <c r="E14" s="48"/>
      <c r="F14" s="285">
        <f>проверка!B9</f>
        <v>12774</v>
      </c>
      <c r="G14" s="7"/>
      <c r="H14" s="7"/>
      <c r="I14" s="7"/>
      <c r="J14" s="9"/>
      <c r="K14" s="293" t="s">
        <v>361</v>
      </c>
      <c r="L14" s="445">
        <f>L12-L13</f>
        <v>567783.62</v>
      </c>
      <c r="M14" s="293">
        <f>M12-M13</f>
        <v>34</v>
      </c>
      <c r="N14" s="445">
        <f>N12-N13</f>
        <v>305897.48</v>
      </c>
      <c r="O14" s="445">
        <f>O12-O13</f>
        <v>261886.14</v>
      </c>
      <c r="P14" s="293">
        <f>ROUND(N14/M14,2)</f>
        <v>8996.98</v>
      </c>
      <c r="Q14" s="446">
        <f>O14/N14+1</f>
        <v>1.8561238883040163</v>
      </c>
      <c r="T14" s="375"/>
      <c r="U14" s="375"/>
      <c r="V14" s="375"/>
    </row>
    <row r="15" spans="3:22" s="8" customFormat="1" ht="12.75">
      <c r="C15" s="7"/>
      <c r="D15" s="7"/>
      <c r="E15" s="7"/>
      <c r="F15" s="7"/>
      <c r="G15" s="7"/>
      <c r="H15" s="7"/>
      <c r="I15" s="7"/>
      <c r="J15" s="9"/>
      <c r="K15" s="9"/>
      <c r="L15" s="9"/>
      <c r="M15" s="293"/>
      <c r="N15" s="293"/>
      <c r="O15" s="293"/>
      <c r="P15" s="293"/>
      <c r="Q15" s="293"/>
      <c r="T15" s="375"/>
      <c r="U15" s="375"/>
      <c r="V15" s="375"/>
    </row>
    <row r="16" spans="3:22" s="8" customFormat="1" ht="12.75">
      <c r="C16" s="7"/>
      <c r="D16" s="7"/>
      <c r="E16" s="7"/>
      <c r="F16" s="7"/>
      <c r="G16" s="7"/>
      <c r="H16" s="7"/>
      <c r="I16" s="7"/>
      <c r="J16" s="9">
        <v>3</v>
      </c>
      <c r="K16" s="9" t="s">
        <v>313</v>
      </c>
      <c r="L16" s="341">
        <v>1140617</v>
      </c>
      <c r="M16" s="341">
        <v>58</v>
      </c>
      <c r="N16" s="293">
        <f>L16-O16</f>
        <v>612272.85</v>
      </c>
      <c r="O16" s="341">
        <v>528344.15</v>
      </c>
      <c r="P16" s="293"/>
      <c r="Q16" s="293"/>
      <c r="T16" s="375"/>
      <c r="U16" s="375"/>
      <c r="V16" s="375"/>
    </row>
    <row r="17" spans="8:22" s="8" customFormat="1" ht="12.75">
      <c r="H17" s="7"/>
      <c r="I17" s="7"/>
      <c r="J17" s="9"/>
      <c r="K17" s="293" t="s">
        <v>164</v>
      </c>
      <c r="L17" s="293">
        <f>O17+N17</f>
        <v>572833.38</v>
      </c>
      <c r="M17" s="341">
        <v>24</v>
      </c>
      <c r="N17" s="341">
        <v>306375.37</v>
      </c>
      <c r="O17" s="341">
        <v>266458.01</v>
      </c>
      <c r="P17" s="293">
        <f>ROUND(N17/M17,2)</f>
        <v>12765.64</v>
      </c>
      <c r="Q17" s="293">
        <f>O17/N17+1</f>
        <v>1.869710936620003</v>
      </c>
      <c r="T17" s="375"/>
      <c r="U17" s="375"/>
      <c r="V17" s="375"/>
    </row>
    <row r="18" spans="2:22" s="8" customFormat="1" ht="12.75">
      <c r="B18" s="15"/>
      <c r="H18" s="15"/>
      <c r="I18" s="7"/>
      <c r="J18" s="9"/>
      <c r="K18" s="293" t="s">
        <v>361</v>
      </c>
      <c r="L18" s="293">
        <f>L16-L17</f>
        <v>567783.62</v>
      </c>
      <c r="M18" s="293">
        <f>M16-M17</f>
        <v>34</v>
      </c>
      <c r="N18" s="293">
        <f>N16-N17</f>
        <v>305897.48</v>
      </c>
      <c r="O18" s="293">
        <f>O16-O17</f>
        <v>261886.14</v>
      </c>
      <c r="P18" s="293">
        <f>ROUND(N18/M18,2)</f>
        <v>8996.98</v>
      </c>
      <c r="Q18" s="293">
        <f>O18/N18+1</f>
        <v>1.8561238883040163</v>
      </c>
      <c r="T18" s="376"/>
      <c r="U18" s="375"/>
      <c r="V18" s="376"/>
    </row>
    <row r="19" spans="2:22" s="8" customFormat="1" ht="12.75">
      <c r="B19" s="15"/>
      <c r="H19" s="15"/>
      <c r="I19" s="7"/>
      <c r="J19" s="9"/>
      <c r="K19" s="9"/>
      <c r="L19" s="9"/>
      <c r="M19" s="293"/>
      <c r="N19" s="293"/>
      <c r="O19" s="293"/>
      <c r="P19" s="293"/>
      <c r="Q19" s="293"/>
      <c r="T19" s="375"/>
      <c r="U19" s="375"/>
      <c r="V19" s="375"/>
    </row>
    <row r="20" spans="2:22" s="8" customFormat="1" ht="12.75">
      <c r="B20" s="15"/>
      <c r="H20" s="15"/>
      <c r="I20" s="7"/>
      <c r="J20" s="9">
        <v>4</v>
      </c>
      <c r="K20" s="9" t="s">
        <v>313</v>
      </c>
      <c r="L20" s="341"/>
      <c r="M20" s="341"/>
      <c r="N20" s="293">
        <f>L20-O20</f>
        <v>0</v>
      </c>
      <c r="O20" s="341"/>
      <c r="P20" s="293"/>
      <c r="Q20" s="293"/>
      <c r="T20" s="376"/>
      <c r="U20" s="375"/>
      <c r="V20" s="376"/>
    </row>
    <row r="21" spans="9:84" s="15" customFormat="1" ht="12.75">
      <c r="I21" s="40"/>
      <c r="J21" s="294"/>
      <c r="K21" s="293" t="s">
        <v>164</v>
      </c>
      <c r="L21" s="293">
        <f>O21+N21</f>
        <v>0</v>
      </c>
      <c r="M21" s="341"/>
      <c r="N21" s="341"/>
      <c r="O21" s="341"/>
      <c r="P21" s="293" t="e">
        <f>ROUND(N21/M21,2)</f>
        <v>#DIV/0!</v>
      </c>
      <c r="Q21" s="293" t="e">
        <f>O21/N21+1</f>
        <v>#DIV/0!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</row>
    <row r="22" spans="2:84" s="15" customFormat="1" ht="45.75" customHeight="1">
      <c r="B22" s="665" t="s">
        <v>207</v>
      </c>
      <c r="C22" s="665"/>
      <c r="D22" s="665"/>
      <c r="E22" s="665"/>
      <c r="F22" s="665"/>
      <c r="G22" s="665"/>
      <c r="H22" s="665"/>
      <c r="I22" s="40"/>
      <c r="J22" s="294"/>
      <c r="K22" s="293" t="s">
        <v>361</v>
      </c>
      <c r="L22" s="293">
        <f>L20-L21</f>
        <v>0</v>
      </c>
      <c r="M22" s="293">
        <f>M20-M21</f>
        <v>0</v>
      </c>
      <c r="N22" s="293">
        <f>N20-N21</f>
        <v>0</v>
      </c>
      <c r="O22" s="293">
        <f>O20-O21</f>
        <v>0</v>
      </c>
      <c r="P22" s="293" t="e">
        <f>ROUND(N22/M22,2)</f>
        <v>#DIV/0!</v>
      </c>
      <c r="Q22" s="293" t="e">
        <f>O22/N22+1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</row>
    <row r="23" spans="2:84" s="15" customFormat="1" ht="13.5" thickBot="1">
      <c r="B23"/>
      <c r="C23" s="2"/>
      <c r="D23" s="2"/>
      <c r="E23" s="2"/>
      <c r="F23" s="2"/>
      <c r="G23" s="2"/>
      <c r="H23" s="2"/>
      <c r="I23" s="40"/>
      <c r="J23" s="661" t="s">
        <v>213</v>
      </c>
      <c r="K23" s="661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</row>
    <row r="24" spans="2:84" s="15" customFormat="1" ht="38.25">
      <c r="B24" s="279" t="s">
        <v>154</v>
      </c>
      <c r="C24" s="43" t="s">
        <v>155</v>
      </c>
      <c r="D24" s="43" t="s">
        <v>156</v>
      </c>
      <c r="E24" s="43" t="s">
        <v>235</v>
      </c>
      <c r="F24" s="43" t="s">
        <v>236</v>
      </c>
      <c r="G24" s="43" t="s">
        <v>237</v>
      </c>
      <c r="H24" s="44" t="s">
        <v>238</v>
      </c>
      <c r="I24" s="40"/>
      <c r="J24" s="9">
        <v>1</v>
      </c>
      <c r="K24" s="9" t="s">
        <v>313</v>
      </c>
      <c r="L24" s="431">
        <v>60389</v>
      </c>
      <c r="M24" s="341">
        <v>9.3</v>
      </c>
      <c r="N24" s="293">
        <f>L24-O24</f>
        <v>55639.44</v>
      </c>
      <c r="O24" s="341">
        <v>4749.56</v>
      </c>
      <c r="P24" s="293"/>
      <c r="Q24" s="293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</row>
    <row r="25" spans="2:84" s="15" customFormat="1" ht="12.75">
      <c r="B25" s="9">
        <f>M25</f>
        <v>0</v>
      </c>
      <c r="C25" s="9">
        <f>P25</f>
        <v>0</v>
      </c>
      <c r="D25" s="9">
        <f>Q25</f>
        <v>0</v>
      </c>
      <c r="E25" s="9">
        <v>8</v>
      </c>
      <c r="F25" s="9">
        <v>1</v>
      </c>
      <c r="G25" s="280">
        <f>ROUND((B25*C25*D25*E25*F25),2)</f>
        <v>0</v>
      </c>
      <c r="H25" s="281">
        <f>ROUND(G25*30.2%,2)</f>
        <v>0</v>
      </c>
      <c r="I25" s="40"/>
      <c r="J25" s="294"/>
      <c r="K25" s="293" t="s">
        <v>164</v>
      </c>
      <c r="L25" s="293">
        <f>O25+N25</f>
        <v>0</v>
      </c>
      <c r="M25" s="341">
        <v>0</v>
      </c>
      <c r="N25" s="341">
        <v>0</v>
      </c>
      <c r="O25" s="341">
        <v>0</v>
      </c>
      <c r="P25" s="510">
        <v>0</v>
      </c>
      <c r="Q25" s="293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2:17" ht="12.75">
      <c r="B26" s="9"/>
      <c r="C26" s="9"/>
      <c r="D26" s="9"/>
      <c r="E26" s="9"/>
      <c r="F26" s="9"/>
      <c r="G26" s="280"/>
      <c r="H26" s="281"/>
      <c r="J26" s="294"/>
      <c r="K26" s="293" t="s">
        <v>361</v>
      </c>
      <c r="L26" s="293">
        <f>L24-L25</f>
        <v>60389</v>
      </c>
      <c r="M26" s="293">
        <v>9.3</v>
      </c>
      <c r="N26" s="293">
        <f>N24-N25</f>
        <v>55639.44</v>
      </c>
      <c r="O26" s="293">
        <f>O24-O25</f>
        <v>4749.56</v>
      </c>
      <c r="P26" s="293">
        <f>ROUND(N26/M26,2)</f>
        <v>5982.74</v>
      </c>
      <c r="Q26" s="293">
        <f>O26/N26+1</f>
        <v>1.0853631884145492</v>
      </c>
    </row>
    <row r="27" spans="2:17" ht="13.5" thickBot="1">
      <c r="B27" s="282"/>
      <c r="C27" s="283"/>
      <c r="D27" s="282"/>
      <c r="E27" s="48"/>
      <c r="F27" s="48"/>
      <c r="G27" s="284"/>
      <c r="H27" s="285"/>
      <c r="J27" s="362"/>
      <c r="K27" s="370"/>
      <c r="L27" s="370"/>
      <c r="M27" s="370"/>
      <c r="N27" s="370"/>
      <c r="O27" s="370"/>
      <c r="P27" s="370"/>
      <c r="Q27" s="370"/>
    </row>
    <row r="28" spans="2:12" ht="13.5" thickBot="1">
      <c r="B28" s="7"/>
      <c r="C28" s="7"/>
      <c r="D28" s="7"/>
      <c r="E28" s="7"/>
      <c r="F28" s="7"/>
      <c r="G28" s="286">
        <f>SUM(G25:G27)</f>
        <v>0</v>
      </c>
      <c r="H28" s="287">
        <f>SUM(H25:H27)</f>
        <v>0</v>
      </c>
      <c r="J28"/>
      <c r="K28"/>
      <c r="L28"/>
    </row>
    <row r="29" spans="2:12" ht="18.75">
      <c r="B29" s="364"/>
      <c r="C29" s="364"/>
      <c r="D29" s="364"/>
      <c r="E29" s="364"/>
      <c r="F29" s="364"/>
      <c r="G29" s="364"/>
      <c r="H29" s="364"/>
      <c r="J29"/>
      <c r="K29"/>
      <c r="L29"/>
    </row>
    <row r="30" spans="2:12" ht="18.75">
      <c r="B30" s="364"/>
      <c r="C30" s="7"/>
      <c r="D30" s="7"/>
      <c r="E30" s="7"/>
      <c r="F30" s="7"/>
      <c r="G30" s="7"/>
      <c r="H30" s="364"/>
      <c r="J30"/>
      <c r="K30"/>
      <c r="L30"/>
    </row>
    <row r="31" spans="2:17" ht="18.75">
      <c r="B31" s="364"/>
      <c r="C31" s="123" t="s">
        <v>440</v>
      </c>
      <c r="D31" s="15"/>
      <c r="E31" s="124"/>
      <c r="F31" s="11" t="s">
        <v>220</v>
      </c>
      <c r="G31" s="11"/>
      <c r="H31" s="364"/>
      <c r="J31" s="362"/>
      <c r="K31" s="370"/>
      <c r="L31" s="370"/>
      <c r="M31" s="370"/>
      <c r="N31" s="370"/>
      <c r="O31" s="370"/>
      <c r="P31" s="370"/>
      <c r="Q31" s="370"/>
    </row>
    <row r="32" spans="2:17" ht="18.75">
      <c r="B32" s="364"/>
      <c r="C32" s="15"/>
      <c r="D32" s="15"/>
      <c r="E32" s="15"/>
      <c r="F32" s="15"/>
      <c r="G32" s="15"/>
      <c r="H32" s="364"/>
      <c r="J32" s="362"/>
      <c r="K32" s="370"/>
      <c r="L32" s="370"/>
      <c r="M32" s="370"/>
      <c r="N32" s="370"/>
      <c r="O32" s="370"/>
      <c r="P32" s="370"/>
      <c r="Q32" s="370"/>
    </row>
    <row r="33" spans="2:17" ht="18.75">
      <c r="B33" s="364"/>
      <c r="C33" s="15"/>
      <c r="D33" s="15"/>
      <c r="E33" s="15"/>
      <c r="F33" s="15"/>
      <c r="G33" s="15"/>
      <c r="H33" s="364"/>
      <c r="J33" s="362"/>
      <c r="K33" s="370"/>
      <c r="L33" s="370"/>
      <c r="M33" s="370"/>
      <c r="N33" s="370"/>
      <c r="O33" s="370"/>
      <c r="P33" s="370"/>
      <c r="Q33" s="370"/>
    </row>
    <row r="34" spans="2:17" ht="18.75">
      <c r="B34" s="364"/>
      <c r="C34" t="s">
        <v>441</v>
      </c>
      <c r="D34" s="15"/>
      <c r="E34" s="15"/>
      <c r="F34" s="11" t="s">
        <v>221</v>
      </c>
      <c r="G34" s="141"/>
      <c r="H34" s="364"/>
      <c r="J34" s="362"/>
      <c r="K34" s="370"/>
      <c r="L34" s="370"/>
      <c r="M34" s="370"/>
      <c r="N34" s="370"/>
      <c r="O34" s="370"/>
      <c r="P34" s="370"/>
      <c r="Q34" s="370"/>
    </row>
    <row r="35" spans="2:17" ht="18.75">
      <c r="B35" s="364"/>
      <c r="C35" s="15"/>
      <c r="D35" s="15"/>
      <c r="E35" s="15"/>
      <c r="F35" s="15"/>
      <c r="G35" s="15"/>
      <c r="H35" s="364"/>
      <c r="J35" s="362"/>
      <c r="K35" s="370"/>
      <c r="L35" s="370"/>
      <c r="M35" s="370"/>
      <c r="N35" s="370"/>
      <c r="O35" s="370"/>
      <c r="P35" s="370"/>
      <c r="Q35" s="370"/>
    </row>
    <row r="36" spans="2:17" ht="18.75">
      <c r="B36" s="364"/>
      <c r="C36" s="364"/>
      <c r="D36" s="364"/>
      <c r="E36" s="364"/>
      <c r="F36" s="364"/>
      <c r="G36" s="364"/>
      <c r="H36" s="364"/>
      <c r="J36" s="362"/>
      <c r="K36" s="370"/>
      <c r="L36" s="370"/>
      <c r="M36" s="370"/>
      <c r="N36" s="370"/>
      <c r="O36" s="370"/>
      <c r="P36" s="370"/>
      <c r="Q36" s="370"/>
    </row>
    <row r="37" spans="2:17" ht="18.75">
      <c r="B37" s="364"/>
      <c r="C37" s="364"/>
      <c r="D37" s="364"/>
      <c r="E37" s="364"/>
      <c r="F37" s="364"/>
      <c r="G37" s="364"/>
      <c r="H37" s="364"/>
      <c r="J37" s="362"/>
      <c r="K37" s="370"/>
      <c r="L37" s="370"/>
      <c r="M37" s="370"/>
      <c r="N37" s="370"/>
      <c r="O37" s="370"/>
      <c r="P37" s="370"/>
      <c r="Q37" s="370"/>
    </row>
    <row r="38" spans="2:17" ht="18.75">
      <c r="B38" s="364"/>
      <c r="C38" s="364"/>
      <c r="D38" s="364"/>
      <c r="E38" s="364"/>
      <c r="F38" s="364"/>
      <c r="G38" s="364"/>
      <c r="H38" s="364"/>
      <c r="J38" s="362"/>
      <c r="K38" s="370"/>
      <c r="L38" s="370"/>
      <c r="M38" s="370"/>
      <c r="N38" s="370"/>
      <c r="O38" s="370"/>
      <c r="P38" s="370"/>
      <c r="Q38" s="370"/>
    </row>
    <row r="39" spans="2:17" ht="18.75">
      <c r="B39" s="364"/>
      <c r="C39" s="364"/>
      <c r="D39" s="364"/>
      <c r="E39" s="364"/>
      <c r="F39" s="364"/>
      <c r="G39" s="364"/>
      <c r="H39" s="364"/>
      <c r="J39" s="362"/>
      <c r="K39" s="370"/>
      <c r="L39" s="370"/>
      <c r="M39" s="370"/>
      <c r="N39" s="370"/>
      <c r="O39" s="370"/>
      <c r="P39" s="370"/>
      <c r="Q39" s="370"/>
    </row>
    <row r="40" spans="2:17" ht="18.75">
      <c r="B40" s="364"/>
      <c r="C40" s="364"/>
      <c r="D40" s="364"/>
      <c r="E40" s="364"/>
      <c r="F40" s="364"/>
      <c r="G40" s="364"/>
      <c r="H40" s="364"/>
      <c r="J40" s="362"/>
      <c r="K40" s="370"/>
      <c r="L40" s="370"/>
      <c r="M40" s="370"/>
      <c r="N40" s="370"/>
      <c r="O40" s="370"/>
      <c r="P40" s="370"/>
      <c r="Q40" s="370"/>
    </row>
    <row r="41" spans="2:17" ht="18.75">
      <c r="B41" s="364"/>
      <c r="C41" s="364"/>
      <c r="D41" s="364"/>
      <c r="E41" s="364"/>
      <c r="F41" s="364"/>
      <c r="G41" s="364"/>
      <c r="H41" s="364"/>
      <c r="J41" s="362"/>
      <c r="K41" s="370"/>
      <c r="L41" s="370"/>
      <c r="M41" s="370"/>
      <c r="N41" s="370"/>
      <c r="O41" s="370"/>
      <c r="P41" s="370"/>
      <c r="Q41" s="370"/>
    </row>
    <row r="42" spans="2:17" ht="18.75">
      <c r="B42" s="364"/>
      <c r="C42" s="364"/>
      <c r="D42" s="364"/>
      <c r="E42" s="364"/>
      <c r="F42" s="364"/>
      <c r="G42" s="364"/>
      <c r="H42" s="364"/>
      <c r="J42" s="362"/>
      <c r="K42" s="370"/>
      <c r="L42" s="370"/>
      <c r="M42" s="370"/>
      <c r="N42" s="370"/>
      <c r="O42" s="370"/>
      <c r="P42" s="370"/>
      <c r="Q42" s="370"/>
    </row>
    <row r="43" spans="2:17" ht="18.75">
      <c r="B43" s="364"/>
      <c r="C43" s="364"/>
      <c r="D43" s="364"/>
      <c r="E43" s="364"/>
      <c r="F43" s="364"/>
      <c r="G43" s="364"/>
      <c r="H43" s="364"/>
      <c r="J43" s="362"/>
      <c r="K43" s="370"/>
      <c r="L43" s="370"/>
      <c r="M43" s="370"/>
      <c r="N43" s="370"/>
      <c r="O43" s="370"/>
      <c r="P43" s="370"/>
      <c r="Q43" s="370"/>
    </row>
    <row r="44" spans="2:17" ht="18.75">
      <c r="B44" s="364"/>
      <c r="C44" s="364"/>
      <c r="D44" s="364"/>
      <c r="E44" s="364"/>
      <c r="F44" s="364"/>
      <c r="G44" s="364"/>
      <c r="H44" s="364"/>
      <c r="J44" s="362"/>
      <c r="K44" s="370"/>
      <c r="L44" s="370"/>
      <c r="M44" s="370"/>
      <c r="N44" s="370"/>
      <c r="O44" s="370"/>
      <c r="P44" s="370"/>
      <c r="Q44" s="370"/>
    </row>
    <row r="45" spans="2:17" ht="12.75">
      <c r="B45" s="2"/>
      <c r="G45" s="663" t="s">
        <v>331</v>
      </c>
      <c r="H45" s="663"/>
      <c r="J45" s="362"/>
      <c r="K45" s="370"/>
      <c r="L45" s="370"/>
      <c r="M45" s="370"/>
      <c r="N45" s="370"/>
      <c r="O45" s="370"/>
      <c r="P45" s="370"/>
      <c r="Q45" s="370"/>
    </row>
    <row r="46" spans="2:17" ht="44.25" customHeight="1">
      <c r="B46" s="664" t="s">
        <v>240</v>
      </c>
      <c r="C46" s="664"/>
      <c r="D46" s="664"/>
      <c r="E46" s="664"/>
      <c r="F46" s="664"/>
      <c r="G46" s="664"/>
      <c r="H46" s="664"/>
      <c r="J46" s="362"/>
      <c r="K46" s="370"/>
      <c r="L46" s="370"/>
      <c r="M46" s="370"/>
      <c r="N46" s="370"/>
      <c r="O46" s="370"/>
      <c r="P46" s="370"/>
      <c r="Q46" s="370"/>
    </row>
    <row r="47" spans="2:17" ht="45.75" customHeight="1" thickBot="1">
      <c r="B47" s="662" t="s">
        <v>218</v>
      </c>
      <c r="C47" s="662"/>
      <c r="D47" s="662"/>
      <c r="E47" s="662"/>
      <c r="F47" s="662"/>
      <c r="G47" s="662"/>
      <c r="H47" s="662"/>
      <c r="J47" s="362"/>
      <c r="K47" s="370"/>
      <c r="L47" s="370"/>
      <c r="M47" s="370"/>
      <c r="N47" s="370"/>
      <c r="O47" s="370"/>
      <c r="P47" s="370"/>
      <c r="Q47" s="370"/>
    </row>
    <row r="48" spans="2:17" ht="33.75" customHeight="1">
      <c r="B48" s="42" t="s">
        <v>157</v>
      </c>
      <c r="C48" s="43" t="s">
        <v>155</v>
      </c>
      <c r="D48" s="43" t="s">
        <v>156</v>
      </c>
      <c r="E48" s="43" t="s">
        <v>235</v>
      </c>
      <c r="F48" s="43" t="s">
        <v>236</v>
      </c>
      <c r="G48" s="43" t="s">
        <v>237</v>
      </c>
      <c r="H48" s="44" t="s">
        <v>238</v>
      </c>
      <c r="J48" s="362"/>
      <c r="K48" s="370"/>
      <c r="L48" s="370"/>
      <c r="M48" s="370"/>
      <c r="N48" s="370"/>
      <c r="O48" s="370"/>
      <c r="P48" s="370"/>
      <c r="Q48" s="370"/>
    </row>
    <row r="49" spans="2:11" ht="12.75">
      <c r="B49" s="45">
        <f>M10</f>
        <v>34</v>
      </c>
      <c r="C49" s="45">
        <f>P10</f>
        <v>8996.98</v>
      </c>
      <c r="D49" s="45">
        <f>Q10</f>
        <v>1.8561238883040163</v>
      </c>
      <c r="E49" s="9">
        <v>12</v>
      </c>
      <c r="F49" s="9">
        <v>1</v>
      </c>
      <c r="G49" s="447">
        <f>B49*C49*D49*E49*F49+2.56</f>
        <v>6813402.436242134</v>
      </c>
      <c r="H49" s="46">
        <f>ROUND(G49*30.2%,2)+0.29</f>
        <v>2057647.83</v>
      </c>
      <c r="K49" s="292"/>
    </row>
    <row r="50" spans="2:11" ht="12.75">
      <c r="B50" s="45">
        <f>M14</f>
        <v>34</v>
      </c>
      <c r="C50" s="291">
        <f>P14</f>
        <v>8996.98</v>
      </c>
      <c r="D50" s="291">
        <f>Q14</f>
        <v>1.8561238883040163</v>
      </c>
      <c r="E50" s="9"/>
      <c r="F50" s="9">
        <v>1</v>
      </c>
      <c r="G50" s="447">
        <f>B50*C50*D50*E50*F50</f>
        <v>0</v>
      </c>
      <c r="H50" s="46">
        <f>ROUND(G50*30.2%,2)</f>
        <v>0</v>
      </c>
      <c r="K50" s="292"/>
    </row>
    <row r="51" spans="1:11" ht="12.75">
      <c r="A51" s="8">
        <v>3</v>
      </c>
      <c r="B51" s="277">
        <f>M18</f>
        <v>34</v>
      </c>
      <c r="C51" s="289">
        <f>P18</f>
        <v>8996.98</v>
      </c>
      <c r="D51" s="142">
        <f>Q18</f>
        <v>1.8561238883040163</v>
      </c>
      <c r="E51" s="142"/>
      <c r="F51" s="142">
        <v>1</v>
      </c>
      <c r="G51" s="447">
        <f>B51*C51*D51*E51*F51</f>
        <v>0</v>
      </c>
      <c r="H51" s="46">
        <f>ROUND(G51*30.2%,2)</f>
        <v>0</v>
      </c>
      <c r="K51" s="292"/>
    </row>
    <row r="52" spans="1:11" ht="13.5" thickBot="1">
      <c r="A52" s="8">
        <v>4</v>
      </c>
      <c r="B52" s="47"/>
      <c r="C52" s="284"/>
      <c r="D52" s="48"/>
      <c r="E52" s="48"/>
      <c r="F52" s="48"/>
      <c r="G52" s="283">
        <f>SUM(G49:G51)</f>
        <v>6813402.436242134</v>
      </c>
      <c r="H52" s="49">
        <f>SUM(H49:H51)</f>
        <v>2057647.83</v>
      </c>
      <c r="K52" s="292"/>
    </row>
    <row r="53" spans="1:8" ht="52.5" customHeight="1" thickBot="1">
      <c r="A53" s="8"/>
      <c r="B53" s="666" t="s">
        <v>219</v>
      </c>
      <c r="C53" s="666"/>
      <c r="D53" s="666"/>
      <c r="E53" s="666"/>
      <c r="F53" s="666"/>
      <c r="G53" s="666"/>
      <c r="H53" s="666"/>
    </row>
    <row r="54" spans="1:8" ht="38.25">
      <c r="A54" s="8"/>
      <c r="B54" s="42" t="s">
        <v>157</v>
      </c>
      <c r="C54" s="43" t="s">
        <v>155</v>
      </c>
      <c r="D54" s="43" t="s">
        <v>156</v>
      </c>
      <c r="E54" s="43" t="s">
        <v>235</v>
      </c>
      <c r="F54" s="43" t="s">
        <v>236</v>
      </c>
      <c r="G54" s="43" t="s">
        <v>237</v>
      </c>
      <c r="H54" s="44" t="s">
        <v>238</v>
      </c>
    </row>
    <row r="55" spans="1:8" ht="12.75">
      <c r="A55" s="8"/>
      <c r="B55" s="45">
        <f>M26</f>
        <v>9.3</v>
      </c>
      <c r="C55" s="45">
        <f>P26</f>
        <v>5982.74</v>
      </c>
      <c r="D55" s="45">
        <f>Q26</f>
        <v>1.0853631884145492</v>
      </c>
      <c r="E55" s="9">
        <v>12</v>
      </c>
      <c r="F55" s="9">
        <v>1</v>
      </c>
      <c r="G55" s="9">
        <f>ROUND((B55*C55*D55)*E55*F55,2)-0.55</f>
        <v>724668</v>
      </c>
      <c r="H55" s="46">
        <f>ROUND(G55*30.2%,2)+0.26</f>
        <v>218850</v>
      </c>
    </row>
    <row r="56" spans="1:8" ht="12.75">
      <c r="A56" s="8"/>
      <c r="B56" s="45"/>
      <c r="C56" s="45"/>
      <c r="D56" s="45"/>
      <c r="E56" s="9"/>
      <c r="F56" s="9"/>
      <c r="G56" s="9"/>
      <c r="H56" s="46"/>
    </row>
    <row r="57" spans="1:8" ht="12.75">
      <c r="A57" s="8"/>
      <c r="B57" s="277"/>
      <c r="C57" s="289"/>
      <c r="D57" s="142"/>
      <c r="E57" s="142"/>
      <c r="F57" s="142"/>
      <c r="G57" s="142"/>
      <c r="H57" s="290"/>
    </row>
    <row r="58" spans="1:8" ht="13.5" thickBot="1">
      <c r="A58" s="8"/>
      <c r="B58" s="47"/>
      <c r="C58" s="284"/>
      <c r="D58" s="48"/>
      <c r="E58" s="48"/>
      <c r="F58" s="48"/>
      <c r="G58" s="48">
        <f>SUM(G55:G57)</f>
        <v>724668</v>
      </c>
      <c r="H58" s="49">
        <f>SUM(H55:H57)</f>
        <v>218850</v>
      </c>
    </row>
    <row r="59" spans="1:8" ht="12.75">
      <c r="A59" s="8"/>
      <c r="B59" s="275"/>
      <c r="C59" s="276"/>
      <c r="D59" s="275"/>
      <c r="E59" s="275"/>
      <c r="F59" s="275"/>
      <c r="G59" s="275"/>
      <c r="H59" s="275"/>
    </row>
    <row r="60" spans="1:8" ht="12.75">
      <c r="A60" s="8"/>
      <c r="B60" s="275"/>
      <c r="C60" s="276"/>
      <c r="D60" s="275"/>
      <c r="E60" s="275"/>
      <c r="F60" s="275"/>
      <c r="G60" s="275"/>
      <c r="H60" s="275"/>
    </row>
    <row r="61" spans="1:8" ht="12.75">
      <c r="A61" s="8"/>
      <c r="B61" s="275"/>
      <c r="C61" s="276"/>
      <c r="D61" s="275"/>
      <c r="E61" s="275"/>
      <c r="F61" s="275"/>
      <c r="G61" s="275"/>
      <c r="H61" s="275"/>
    </row>
    <row r="62" spans="1:8" ht="12.75">
      <c r="A62" s="8"/>
      <c r="B62" s="275"/>
      <c r="C62" s="276"/>
      <c r="D62" s="275"/>
      <c r="E62" s="275"/>
      <c r="F62" s="275"/>
      <c r="G62" s="275"/>
      <c r="H62" s="275"/>
    </row>
    <row r="63" spans="1:8" ht="12.75">
      <c r="A63" s="8"/>
      <c r="B63" s="275"/>
      <c r="C63" s="276"/>
      <c r="D63" s="275"/>
      <c r="E63" s="275"/>
      <c r="F63" s="275"/>
      <c r="G63" s="275"/>
      <c r="H63" s="275"/>
    </row>
    <row r="64" spans="1:8" ht="12.75">
      <c r="A64" s="8"/>
      <c r="B64" s="275"/>
      <c r="C64" s="276"/>
      <c r="D64" s="275"/>
      <c r="E64" s="275"/>
      <c r="F64" s="275"/>
      <c r="G64" s="275" t="s">
        <v>307</v>
      </c>
      <c r="H64" s="275"/>
    </row>
    <row r="65" spans="1:8" ht="13.5" thickBot="1">
      <c r="A65" s="8"/>
      <c r="B65" s="275"/>
      <c r="C65" s="276"/>
      <c r="D65" s="275"/>
      <c r="E65" s="275"/>
      <c r="F65" s="275"/>
      <c r="G65" s="275"/>
      <c r="H65" s="275"/>
    </row>
    <row r="66" spans="1:8" ht="89.25">
      <c r="A66" s="8"/>
      <c r="B66" s="42" t="s">
        <v>158</v>
      </c>
      <c r="C66" s="43" t="s">
        <v>159</v>
      </c>
      <c r="D66" s="43" t="s">
        <v>235</v>
      </c>
      <c r="E66" s="44" t="s">
        <v>160</v>
      </c>
      <c r="F66" s="7"/>
      <c r="G66" s="7"/>
      <c r="H66" s="7" t="s">
        <v>307</v>
      </c>
    </row>
    <row r="67" spans="1:8" ht="13.5" thickBot="1">
      <c r="A67" s="8"/>
      <c r="B67" s="288"/>
      <c r="C67" s="134"/>
      <c r="D67" s="134"/>
      <c r="E67" s="49"/>
      <c r="F67" s="7"/>
      <c r="G67" s="7"/>
      <c r="H67" s="7"/>
    </row>
    <row r="68" spans="1:9" ht="13.5" thickBot="1">
      <c r="A68" s="8"/>
      <c r="B68" s="295">
        <v>50</v>
      </c>
      <c r="C68" s="282">
        <v>4</v>
      </c>
      <c r="D68" s="282">
        <v>12</v>
      </c>
      <c r="E68" s="49">
        <f>B68*C68*D68</f>
        <v>2400</v>
      </c>
      <c r="I68" s="2" t="s">
        <v>307</v>
      </c>
    </row>
    <row r="69" spans="1:2" ht="12.75">
      <c r="A69" s="8">
        <v>4</v>
      </c>
      <c r="B69" s="2"/>
    </row>
    <row r="70" ht="12.75">
      <c r="B70" s="2"/>
    </row>
    <row r="71" ht="12.75">
      <c r="B71" s="2"/>
    </row>
    <row r="72" spans="2:8" ht="12.75">
      <c r="B72" s="123" t="s">
        <v>442</v>
      </c>
      <c r="C72" s="15"/>
      <c r="D72" s="124"/>
      <c r="E72" s="11" t="s">
        <v>220</v>
      </c>
      <c r="F72" s="141"/>
      <c r="G72" s="11"/>
      <c r="H72" s="15"/>
    </row>
    <row r="73" spans="2:8" ht="12.75">
      <c r="B73" s="15"/>
      <c r="C73" s="15"/>
      <c r="D73" s="15"/>
      <c r="E73" s="15"/>
      <c r="F73" s="15"/>
      <c r="G73" s="15"/>
      <c r="H73" s="15"/>
    </row>
    <row r="74" spans="2:8" ht="12.75">
      <c r="B74" s="15"/>
      <c r="C74" s="15"/>
      <c r="D74" s="15"/>
      <c r="E74" s="15"/>
      <c r="F74" s="15"/>
      <c r="G74" s="15"/>
      <c r="H74" s="15"/>
    </row>
    <row r="75" spans="2:8" ht="12.75">
      <c r="B75" t="s">
        <v>443</v>
      </c>
      <c r="C75" s="15"/>
      <c r="D75" s="15"/>
      <c r="E75" s="11" t="s">
        <v>221</v>
      </c>
      <c r="F75" s="141"/>
      <c r="G75" s="11"/>
      <c r="H75" s="15"/>
    </row>
  </sheetData>
  <sheetProtection/>
  <mergeCells count="11">
    <mergeCell ref="B53:H53"/>
    <mergeCell ref="H1:I1"/>
    <mergeCell ref="C2:I2"/>
    <mergeCell ref="H3:I3"/>
    <mergeCell ref="C4:I4"/>
    <mergeCell ref="J6:K6"/>
    <mergeCell ref="J23:K23"/>
    <mergeCell ref="B47:H47"/>
    <mergeCell ref="G45:H45"/>
    <mergeCell ref="B46:H46"/>
    <mergeCell ref="B22:H22"/>
  </mergeCells>
  <printOptions/>
  <pageMargins left="0.5905511811023623" right="0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E119"/>
  <sheetViews>
    <sheetView view="pageBreakPreview" zoomScaleSheetLayoutView="100" zoomScalePageLayoutView="0" workbookViewId="0" topLeftCell="A63">
      <selection activeCell="C76" sqref="C76"/>
    </sheetView>
  </sheetViews>
  <sheetFormatPr defaultColWidth="9.00390625" defaultRowHeight="12.75"/>
  <cols>
    <col min="1" max="1" width="3.375" style="0" customWidth="1"/>
    <col min="2" max="2" width="23.375" style="0" customWidth="1"/>
    <col min="3" max="3" width="16.875" style="0" customWidth="1"/>
    <col min="4" max="5" width="12.875" style="0" customWidth="1"/>
    <col min="6" max="6" width="13.00390625" style="0" customWidth="1"/>
    <col min="7" max="7" width="12.25390625" style="0" customWidth="1"/>
    <col min="11" max="11" width="8.75390625" style="0" customWidth="1"/>
  </cols>
  <sheetData>
    <row r="1" spans="6:7" ht="12.75">
      <c r="F1" s="672" t="s">
        <v>332</v>
      </c>
      <c r="G1" s="672"/>
    </row>
    <row r="2" spans="2:7" ht="18.75">
      <c r="B2" s="668" t="s">
        <v>252</v>
      </c>
      <c r="C2" s="668"/>
      <c r="D2" s="668"/>
      <c r="E2" s="668"/>
      <c r="F2" s="668"/>
      <c r="G2" s="668"/>
    </row>
    <row r="3" spans="2:7" s="13" customFormat="1" ht="12.75">
      <c r="B3" s="12"/>
      <c r="C3" s="12"/>
      <c r="D3" s="12"/>
      <c r="E3" s="12"/>
      <c r="F3" s="12"/>
      <c r="G3" s="12"/>
    </row>
    <row r="4" spans="2:7" ht="13.5" thickBot="1">
      <c r="B4" s="12"/>
      <c r="C4" s="12"/>
      <c r="D4" s="12"/>
      <c r="E4" s="12"/>
      <c r="F4" s="12"/>
      <c r="G4" s="12"/>
    </row>
    <row r="5" spans="2:7" s="2" customFormat="1" ht="26.25" thickBot="1">
      <c r="B5" s="300"/>
      <c r="C5" s="301" t="s">
        <v>249</v>
      </c>
      <c r="D5" s="301" t="s">
        <v>250</v>
      </c>
      <c r="E5" s="301" t="s">
        <v>235</v>
      </c>
      <c r="F5" s="302" t="s">
        <v>236</v>
      </c>
      <c r="G5" s="303" t="s">
        <v>251</v>
      </c>
    </row>
    <row r="6" spans="2:8" ht="12.75">
      <c r="B6" s="677" t="s">
        <v>299</v>
      </c>
      <c r="C6" s="304">
        <v>246</v>
      </c>
      <c r="D6" s="305">
        <v>9.5</v>
      </c>
      <c r="E6" s="305">
        <v>12</v>
      </c>
      <c r="F6" s="305">
        <v>1</v>
      </c>
      <c r="G6" s="497">
        <f>ROUND(C6*D6*E6*F6,0)</f>
        <v>28044</v>
      </c>
      <c r="H6" t="s">
        <v>153</v>
      </c>
    </row>
    <row r="7" spans="2:7" ht="12.75">
      <c r="B7" s="674"/>
      <c r="C7" s="495"/>
      <c r="D7" s="496"/>
      <c r="E7" s="496"/>
      <c r="F7" s="496">
        <v>1</v>
      </c>
      <c r="G7" s="498">
        <f>ROUND(C7*D7*E7*F7,2)</f>
        <v>0</v>
      </c>
    </row>
    <row r="8" spans="2:8" ht="34.5" customHeight="1">
      <c r="B8" s="675" t="s">
        <v>222</v>
      </c>
      <c r="C8" s="361">
        <v>3500</v>
      </c>
      <c r="D8" s="1">
        <v>1</v>
      </c>
      <c r="E8" s="1">
        <v>1</v>
      </c>
      <c r="F8" s="1">
        <v>1</v>
      </c>
      <c r="G8" s="499">
        <f aca="true" t="shared" si="0" ref="G8:G19">ROUND(C8*D8*E8,2)</f>
        <v>3500</v>
      </c>
      <c r="H8" t="s">
        <v>153</v>
      </c>
    </row>
    <row r="9" spans="2:8" ht="12.75">
      <c r="B9" s="676"/>
      <c r="C9" s="432"/>
      <c r="D9" s="1"/>
      <c r="E9" s="1"/>
      <c r="F9" s="1">
        <v>1</v>
      </c>
      <c r="G9" s="499">
        <f t="shared" si="0"/>
        <v>0</v>
      </c>
      <c r="H9" t="s">
        <v>153</v>
      </c>
    </row>
    <row r="10" spans="2:8" ht="12.75">
      <c r="B10" s="45" t="s">
        <v>300</v>
      </c>
      <c r="C10" s="1">
        <v>0.25</v>
      </c>
      <c r="D10" s="1">
        <v>1747</v>
      </c>
      <c r="E10" s="1">
        <v>12</v>
      </c>
      <c r="F10" s="1">
        <v>1</v>
      </c>
      <c r="G10" s="499">
        <f t="shared" si="0"/>
        <v>5241</v>
      </c>
      <c r="H10" t="s">
        <v>153</v>
      </c>
    </row>
    <row r="11" spans="2:8" ht="25.5">
      <c r="B11" s="45" t="s">
        <v>412</v>
      </c>
      <c r="C11" s="1">
        <v>1386</v>
      </c>
      <c r="D11" s="1">
        <v>1</v>
      </c>
      <c r="E11" s="1">
        <v>12</v>
      </c>
      <c r="F11" s="1">
        <v>1</v>
      </c>
      <c r="G11" s="499">
        <f t="shared" si="0"/>
        <v>16632</v>
      </c>
      <c r="H11" t="s">
        <v>153</v>
      </c>
    </row>
    <row r="12" spans="2:7" ht="12.75">
      <c r="B12" s="45" t="s">
        <v>413</v>
      </c>
      <c r="C12" s="1">
        <v>1000.1</v>
      </c>
      <c r="D12" s="1">
        <v>1</v>
      </c>
      <c r="E12" s="1">
        <v>12</v>
      </c>
      <c r="F12" s="1">
        <v>1</v>
      </c>
      <c r="G12" s="499">
        <f>ROUND(C12*D12*E12,2)-0.2</f>
        <v>12001</v>
      </c>
    </row>
    <row r="13" spans="2:8" ht="12.75">
      <c r="B13" s="45" t="s">
        <v>414</v>
      </c>
      <c r="C13" s="1"/>
      <c r="D13" s="1"/>
      <c r="E13" s="1"/>
      <c r="F13" s="1">
        <v>1</v>
      </c>
      <c r="G13" s="499">
        <f t="shared" si="0"/>
        <v>0</v>
      </c>
      <c r="H13" t="s">
        <v>153</v>
      </c>
    </row>
    <row r="14" spans="2:8" ht="25.5">
      <c r="B14" s="45" t="s">
        <v>223</v>
      </c>
      <c r="C14" s="1">
        <v>256.85</v>
      </c>
      <c r="D14" s="1">
        <v>1</v>
      </c>
      <c r="E14" s="1">
        <v>12</v>
      </c>
      <c r="F14" s="1">
        <v>1</v>
      </c>
      <c r="G14" s="499">
        <f t="shared" si="0"/>
        <v>3082.2</v>
      </c>
      <c r="H14" t="s">
        <v>153</v>
      </c>
    </row>
    <row r="15" spans="2:8" ht="38.25" customHeight="1">
      <c r="B15" s="673" t="s">
        <v>429</v>
      </c>
      <c r="C15" s="1"/>
      <c r="D15" s="1"/>
      <c r="E15" s="1"/>
      <c r="F15" s="1">
        <v>1</v>
      </c>
      <c r="G15" s="499">
        <f>ROUND(C15*D15*E15,2)</f>
        <v>0</v>
      </c>
      <c r="H15" t="s">
        <v>153</v>
      </c>
    </row>
    <row r="16" spans="2:7" ht="12.75">
      <c r="B16" s="679"/>
      <c r="C16" s="1"/>
      <c r="D16" s="1"/>
      <c r="E16" s="1"/>
      <c r="F16" s="1">
        <v>1</v>
      </c>
      <c r="G16" s="499">
        <f>ROUND(C16*D16*E16,2)</f>
        <v>0</v>
      </c>
    </row>
    <row r="17" spans="2:7" ht="12.75">
      <c r="B17" s="674"/>
      <c r="C17" s="1">
        <v>97.267</v>
      </c>
      <c r="D17" s="1">
        <v>11</v>
      </c>
      <c r="E17" s="1">
        <v>1</v>
      </c>
      <c r="F17" s="1">
        <v>1</v>
      </c>
      <c r="G17" s="499">
        <f>ROUND(C17*D17*E17,2)-0.26</f>
        <v>1069.68</v>
      </c>
    </row>
    <row r="18" spans="2:7" ht="25.5" customHeight="1">
      <c r="B18" s="673" t="s">
        <v>415</v>
      </c>
      <c r="C18" s="1"/>
      <c r="D18" s="1"/>
      <c r="E18" s="1"/>
      <c r="F18" s="1">
        <v>1</v>
      </c>
      <c r="G18" s="499">
        <f t="shared" si="0"/>
        <v>0</v>
      </c>
    </row>
    <row r="19" spans="2:7" ht="12.75">
      <c r="B19" s="674"/>
      <c r="C19" s="1"/>
      <c r="D19" s="1"/>
      <c r="E19" s="1"/>
      <c r="F19" s="1">
        <v>1</v>
      </c>
      <c r="G19" s="499">
        <f t="shared" si="0"/>
        <v>0</v>
      </c>
    </row>
    <row r="20" spans="2:7" ht="12.75">
      <c r="B20" s="140" t="s">
        <v>360</v>
      </c>
      <c r="C20" s="1"/>
      <c r="D20" s="1"/>
      <c r="E20" s="1"/>
      <c r="F20" s="1">
        <v>1</v>
      </c>
      <c r="G20" s="499">
        <f>ROUND(C20*D20*E20,0)</f>
        <v>0</v>
      </c>
    </row>
    <row r="21" spans="2:8" ht="25.5" customHeight="1">
      <c r="B21" s="45" t="s">
        <v>416</v>
      </c>
      <c r="C21" s="367">
        <v>1100</v>
      </c>
      <c r="D21" s="368">
        <v>1</v>
      </c>
      <c r="E21" s="367">
        <v>12</v>
      </c>
      <c r="F21" s="1">
        <v>1</v>
      </c>
      <c r="G21" s="499">
        <f>C21*E21</f>
        <v>13200</v>
      </c>
      <c r="H21" t="s">
        <v>153</v>
      </c>
    </row>
    <row r="22" spans="2:8" ht="15.75" customHeight="1">
      <c r="B22" s="277" t="s">
        <v>417</v>
      </c>
      <c r="C22" s="367"/>
      <c r="D22" s="368"/>
      <c r="E22" s="367"/>
      <c r="F22" s="1">
        <v>1</v>
      </c>
      <c r="G22" s="499">
        <f>C22*D22*E22*F22</f>
        <v>0</v>
      </c>
      <c r="H22" t="s">
        <v>153</v>
      </c>
    </row>
    <row r="23" spans="2:8" ht="12.75" customHeight="1">
      <c r="B23" s="433"/>
      <c r="C23" s="367"/>
      <c r="D23" s="368"/>
      <c r="E23" s="367"/>
      <c r="F23" s="1">
        <v>1</v>
      </c>
      <c r="G23" s="499">
        <f>C23*D23*E23*F23</f>
        <v>0</v>
      </c>
      <c r="H23" t="s">
        <v>153</v>
      </c>
    </row>
    <row r="24" spans="2:8" ht="14.25" customHeight="1">
      <c r="B24" s="673" t="s">
        <v>418</v>
      </c>
      <c r="C24" s="367"/>
      <c r="D24" s="368"/>
      <c r="E24" s="367"/>
      <c r="F24" s="1">
        <v>1</v>
      </c>
      <c r="G24" s="499">
        <f>C24*D24*E24*F24</f>
        <v>0</v>
      </c>
      <c r="H24" t="s">
        <v>153</v>
      </c>
    </row>
    <row r="25" spans="2:8" ht="12.75">
      <c r="B25" s="674"/>
      <c r="C25" s="367">
        <v>1605.26</v>
      </c>
      <c r="D25" s="368">
        <v>1</v>
      </c>
      <c r="E25" s="367">
        <v>12</v>
      </c>
      <c r="F25" s="1">
        <v>1</v>
      </c>
      <c r="G25" s="499">
        <f>C25*E25</f>
        <v>19263.12</v>
      </c>
      <c r="H25" t="s">
        <v>153</v>
      </c>
    </row>
    <row r="26" spans="2:8" ht="23.25" customHeight="1">
      <c r="B26" s="45" t="s">
        <v>419</v>
      </c>
      <c r="C26" s="1"/>
      <c r="D26" s="1"/>
      <c r="E26" s="1"/>
      <c r="F26" s="1">
        <v>1</v>
      </c>
      <c r="G26" s="499">
        <f>ROUND(C26*D26*E26,0)</f>
        <v>0</v>
      </c>
      <c r="H26" t="s">
        <v>153</v>
      </c>
    </row>
    <row r="27" spans="2:8" ht="12.75" customHeight="1">
      <c r="B27" s="675" t="s">
        <v>428</v>
      </c>
      <c r="C27" s="1"/>
      <c r="D27" s="1"/>
      <c r="E27" s="1"/>
      <c r="F27" s="1">
        <v>1</v>
      </c>
      <c r="G27" s="499">
        <f>ROUND(C27*D27*E27,0)</f>
        <v>0</v>
      </c>
      <c r="H27" t="s">
        <v>153</v>
      </c>
    </row>
    <row r="28" spans="2:8" ht="12.75">
      <c r="B28" s="678"/>
      <c r="C28" s="1"/>
      <c r="D28" s="1"/>
      <c r="E28" s="1"/>
      <c r="F28" s="1">
        <v>1</v>
      </c>
      <c r="G28" s="499">
        <f>ROUND(C28*D28*E28,0)</f>
        <v>0</v>
      </c>
      <c r="H28" t="s">
        <v>153</v>
      </c>
    </row>
    <row r="29" spans="2:8" ht="12.75">
      <c r="B29" s="678"/>
      <c r="C29" s="1"/>
      <c r="D29" s="1"/>
      <c r="E29" s="1"/>
      <c r="F29" s="1">
        <v>1</v>
      </c>
      <c r="G29" s="499">
        <f>ROUND(C29*D29*E29,2)</f>
        <v>0</v>
      </c>
      <c r="H29" t="s">
        <v>153</v>
      </c>
    </row>
    <row r="30" spans="2:8" ht="12.75">
      <c r="B30" s="678"/>
      <c r="C30" s="1"/>
      <c r="D30" s="1"/>
      <c r="E30" s="1"/>
      <c r="F30" s="1">
        <v>1</v>
      </c>
      <c r="G30" s="499">
        <f>ROUND(C30*D30*E30,2)</f>
        <v>0</v>
      </c>
      <c r="H30" t="s">
        <v>153</v>
      </c>
    </row>
    <row r="31" spans="2:8" ht="12.75">
      <c r="B31" s="678"/>
      <c r="C31" s="1">
        <v>18000</v>
      </c>
      <c r="D31" s="1">
        <v>1</v>
      </c>
      <c r="E31" s="1">
        <v>1</v>
      </c>
      <c r="F31" s="1">
        <v>1</v>
      </c>
      <c r="G31" s="500">
        <f>ROUND(C31*D31*E31*F31,2)</f>
        <v>18000</v>
      </c>
      <c r="H31" t="s">
        <v>153</v>
      </c>
    </row>
    <row r="32" spans="2:8" ht="12.75" customHeight="1" hidden="1">
      <c r="B32" s="678"/>
      <c r="C32" s="1"/>
      <c r="D32" s="1"/>
      <c r="E32" s="1"/>
      <c r="F32" s="1">
        <v>1</v>
      </c>
      <c r="G32" s="500">
        <f aca="true" t="shared" si="1" ref="G32:G43">ROUND(C32*D32*E32*F32,2)</f>
        <v>0</v>
      </c>
      <c r="H32" t="s">
        <v>153</v>
      </c>
    </row>
    <row r="33" spans="2:7" ht="12.75" customHeight="1" hidden="1">
      <c r="B33" s="678"/>
      <c r="C33" s="1"/>
      <c r="D33" s="1"/>
      <c r="E33" s="1"/>
      <c r="F33" s="1">
        <v>1</v>
      </c>
      <c r="G33" s="500">
        <f t="shared" si="1"/>
        <v>0</v>
      </c>
    </row>
    <row r="34" spans="2:7" ht="24" customHeight="1" hidden="1">
      <c r="B34" s="678"/>
      <c r="C34" s="1"/>
      <c r="D34" s="1"/>
      <c r="E34" s="1"/>
      <c r="F34" s="1">
        <v>1</v>
      </c>
      <c r="G34" s="500">
        <f t="shared" si="1"/>
        <v>0</v>
      </c>
    </row>
    <row r="35" spans="2:7" ht="12.75" customHeight="1" hidden="1">
      <c r="B35" s="678"/>
      <c r="C35" s="1"/>
      <c r="D35" s="1"/>
      <c r="E35" s="1"/>
      <c r="F35" s="1">
        <v>1</v>
      </c>
      <c r="G35" s="500">
        <f t="shared" si="1"/>
        <v>0</v>
      </c>
    </row>
    <row r="36" spans="2:7" ht="12.75" customHeight="1" hidden="1">
      <c r="B36" s="678"/>
      <c r="C36" s="1"/>
      <c r="D36" s="1"/>
      <c r="E36" s="1"/>
      <c r="F36" s="1">
        <v>1</v>
      </c>
      <c r="G36" s="500">
        <f t="shared" si="1"/>
        <v>0</v>
      </c>
    </row>
    <row r="37" spans="2:7" ht="24" customHeight="1" hidden="1">
      <c r="B37" s="678"/>
      <c r="C37" s="1"/>
      <c r="D37" s="1"/>
      <c r="E37" s="1"/>
      <c r="F37" s="1">
        <v>1</v>
      </c>
      <c r="G37" s="500">
        <f t="shared" si="1"/>
        <v>0</v>
      </c>
    </row>
    <row r="38" spans="2:7" ht="12.75" customHeight="1" hidden="1">
      <c r="B38" s="678"/>
      <c r="C38" s="1"/>
      <c r="D38" s="1"/>
      <c r="E38" s="1"/>
      <c r="F38" s="1">
        <v>1</v>
      </c>
      <c r="G38" s="500">
        <f t="shared" si="1"/>
        <v>0</v>
      </c>
    </row>
    <row r="39" spans="2:8" ht="27.75" customHeight="1" hidden="1">
      <c r="B39" s="678"/>
      <c r="C39" s="1"/>
      <c r="D39" s="1"/>
      <c r="E39" s="1"/>
      <c r="F39" s="1">
        <v>1</v>
      </c>
      <c r="G39" s="500">
        <f t="shared" si="1"/>
        <v>0</v>
      </c>
      <c r="H39" t="s">
        <v>153</v>
      </c>
    </row>
    <row r="40" spans="2:8" ht="13.5" customHeight="1" hidden="1">
      <c r="B40" s="678"/>
      <c r="C40" s="1"/>
      <c r="D40" s="1"/>
      <c r="E40" s="1"/>
      <c r="F40" s="1">
        <v>1</v>
      </c>
      <c r="G40" s="500">
        <f t="shared" si="1"/>
        <v>0</v>
      </c>
      <c r="H40" t="s">
        <v>153</v>
      </c>
    </row>
    <row r="41" spans="2:7" ht="13.5" customHeight="1" hidden="1">
      <c r="B41" s="678"/>
      <c r="C41" s="1"/>
      <c r="D41" s="1"/>
      <c r="E41" s="1"/>
      <c r="F41" s="1"/>
      <c r="G41" s="500">
        <f t="shared" si="1"/>
        <v>0</v>
      </c>
    </row>
    <row r="42" spans="2:8" ht="27.75" customHeight="1" hidden="1">
      <c r="B42" s="678"/>
      <c r="C42" s="1"/>
      <c r="D42" s="1"/>
      <c r="E42" s="1"/>
      <c r="F42" s="1">
        <v>1</v>
      </c>
      <c r="G42" s="500">
        <f t="shared" si="1"/>
        <v>0</v>
      </c>
      <c r="H42" t="s">
        <v>153</v>
      </c>
    </row>
    <row r="43" spans="2:7" ht="16.5" customHeight="1">
      <c r="B43" s="676"/>
      <c r="C43" s="345"/>
      <c r="D43" s="345"/>
      <c r="E43" s="345"/>
      <c r="F43" s="345">
        <v>1</v>
      </c>
      <c r="G43" s="500">
        <f t="shared" si="1"/>
        <v>0</v>
      </c>
    </row>
    <row r="44" spans="2:9" ht="13.5" thickBot="1">
      <c r="B44" s="62" t="s">
        <v>362</v>
      </c>
      <c r="C44" s="56"/>
      <c r="D44" s="56"/>
      <c r="E44" s="56"/>
      <c r="F44" s="56"/>
      <c r="G44" s="61">
        <f>SUM(G21:G43)</f>
        <v>50463.119999999995</v>
      </c>
      <c r="I44" s="26"/>
    </row>
    <row r="45" spans="2:8" ht="12.75">
      <c r="B45" s="22"/>
      <c r="C45" s="13"/>
      <c r="D45" s="13"/>
      <c r="E45" s="13"/>
      <c r="F45" s="13"/>
      <c r="G45" s="144"/>
      <c r="H45" s="13"/>
    </row>
    <row r="46" spans="2:7" ht="12.75" hidden="1">
      <c r="B46" s="22"/>
      <c r="C46" s="13"/>
      <c r="D46" s="13"/>
      <c r="E46" s="13"/>
      <c r="F46" s="13"/>
      <c r="G46" s="13"/>
    </row>
    <row r="47" spans="2:7" ht="12.75" hidden="1">
      <c r="B47" s="22"/>
      <c r="C47" s="13"/>
      <c r="D47" s="13"/>
      <c r="E47" s="13"/>
      <c r="F47" s="13"/>
      <c r="G47" s="13"/>
    </row>
    <row r="48" spans="2:7" ht="12.75" hidden="1">
      <c r="B48" s="22"/>
      <c r="C48" s="13"/>
      <c r="D48" s="13"/>
      <c r="E48" s="13"/>
      <c r="F48" s="13"/>
      <c r="G48" s="13"/>
    </row>
    <row r="49" spans="2:7" ht="12.75" hidden="1">
      <c r="B49" s="22"/>
      <c r="C49" s="13"/>
      <c r="D49" s="13"/>
      <c r="E49" s="13"/>
      <c r="F49" s="13"/>
      <c r="G49" s="13"/>
    </row>
    <row r="50" spans="2:7" ht="12.75" hidden="1">
      <c r="B50" s="22"/>
      <c r="C50" s="13"/>
      <c r="D50" s="13"/>
      <c r="E50" s="13"/>
      <c r="F50" s="13"/>
      <c r="G50" s="13"/>
    </row>
    <row r="51" spans="2:7" ht="12.75">
      <c r="B51" s="22"/>
      <c r="C51" s="13"/>
      <c r="D51" s="13"/>
      <c r="E51" s="13"/>
      <c r="F51" s="13"/>
      <c r="G51" s="13"/>
    </row>
    <row r="52" spans="2:7" ht="12.75">
      <c r="B52" s="22"/>
      <c r="C52" s="13"/>
      <c r="D52" s="13"/>
      <c r="E52" s="13"/>
      <c r="F52" s="13"/>
      <c r="G52" s="13"/>
    </row>
    <row r="53" ht="12.75">
      <c r="B53" s="2"/>
    </row>
    <row r="54" spans="2:7" ht="32.25" customHeight="1">
      <c r="B54" s="680" t="s">
        <v>253</v>
      </c>
      <c r="C54" s="681"/>
      <c r="D54" s="681"/>
      <c r="E54" s="681"/>
      <c r="F54" s="681"/>
      <c r="G54" s="681"/>
    </row>
    <row r="55" ht="13.5" thickBot="1">
      <c r="B55" s="2"/>
    </row>
    <row r="56" spans="2:7" ht="25.5">
      <c r="B56" s="57"/>
      <c r="C56" s="53" t="s">
        <v>249</v>
      </c>
      <c r="D56" s="53" t="s">
        <v>250</v>
      </c>
      <c r="E56" s="53" t="s">
        <v>235</v>
      </c>
      <c r="F56" s="43" t="s">
        <v>236</v>
      </c>
      <c r="G56" s="54" t="s">
        <v>251</v>
      </c>
    </row>
    <row r="57" spans="2:7" ht="25.5">
      <c r="B57" s="45" t="s">
        <v>297</v>
      </c>
      <c r="C57" s="1">
        <v>247.8</v>
      </c>
      <c r="D57" s="1">
        <v>1</v>
      </c>
      <c r="E57" s="1">
        <v>12</v>
      </c>
      <c r="F57" s="1">
        <v>1</v>
      </c>
      <c r="G57" s="59">
        <f aca="true" t="shared" si="2" ref="G57:G65">ROUND(C57*D57*E57*F57,2)</f>
        <v>2973.6</v>
      </c>
    </row>
    <row r="58" spans="2:7" ht="25.5">
      <c r="B58" s="45" t="s">
        <v>297</v>
      </c>
      <c r="C58" s="1"/>
      <c r="D58" s="1"/>
      <c r="E58" s="1"/>
      <c r="F58" s="1">
        <v>1</v>
      </c>
      <c r="G58" s="59">
        <f t="shared" si="2"/>
        <v>0</v>
      </c>
    </row>
    <row r="59" spans="2:7" ht="12.75">
      <c r="B59" s="45" t="s">
        <v>298</v>
      </c>
      <c r="C59" s="1">
        <v>0.52</v>
      </c>
      <c r="D59" s="1">
        <v>1188</v>
      </c>
      <c r="E59" s="1">
        <v>12</v>
      </c>
      <c r="F59" s="1">
        <v>1</v>
      </c>
      <c r="G59" s="59">
        <f t="shared" si="2"/>
        <v>7413.12</v>
      </c>
    </row>
    <row r="60" spans="2:7" ht="12.75" hidden="1">
      <c r="B60" s="45" t="s">
        <v>298</v>
      </c>
      <c r="C60" s="1"/>
      <c r="D60" s="1"/>
      <c r="E60" s="1"/>
      <c r="F60" s="1">
        <v>1</v>
      </c>
      <c r="G60" s="59">
        <f t="shared" si="2"/>
        <v>0</v>
      </c>
    </row>
    <row r="61" spans="2:7" ht="12.75" hidden="1">
      <c r="B61" s="45" t="s">
        <v>298</v>
      </c>
      <c r="C61" s="1"/>
      <c r="D61" s="1"/>
      <c r="E61" s="1"/>
      <c r="F61" s="1">
        <v>1</v>
      </c>
      <c r="G61" s="59">
        <f t="shared" si="2"/>
        <v>0</v>
      </c>
    </row>
    <row r="62" spans="2:7" ht="12.75" hidden="1">
      <c r="B62" s="45" t="s">
        <v>298</v>
      </c>
      <c r="C62" s="1"/>
      <c r="D62" s="1"/>
      <c r="E62" s="1"/>
      <c r="F62" s="1">
        <v>1</v>
      </c>
      <c r="G62" s="59">
        <f t="shared" si="2"/>
        <v>0</v>
      </c>
    </row>
    <row r="63" spans="2:7" ht="12.75">
      <c r="B63" s="45" t="s">
        <v>298</v>
      </c>
      <c r="C63" s="1"/>
      <c r="D63" s="1"/>
      <c r="E63" s="1"/>
      <c r="F63" s="1">
        <v>1</v>
      </c>
      <c r="G63" s="59">
        <f t="shared" si="2"/>
        <v>0</v>
      </c>
    </row>
    <row r="64" spans="2:7" ht="12.75">
      <c r="B64" s="45" t="s">
        <v>296</v>
      </c>
      <c r="C64" s="1">
        <v>755.19</v>
      </c>
      <c r="D64" s="1">
        <v>1</v>
      </c>
      <c r="E64" s="1">
        <v>12</v>
      </c>
      <c r="F64" s="1">
        <v>1</v>
      </c>
      <c r="G64" s="59">
        <f>ROUND(C64*D64*E64*F64,2)</f>
        <v>9062.28</v>
      </c>
    </row>
    <row r="65" spans="2:7" ht="12.75">
      <c r="B65" s="45" t="s">
        <v>296</v>
      </c>
      <c r="C65" s="1"/>
      <c r="D65" s="1"/>
      <c r="E65" s="1"/>
      <c r="F65" s="1">
        <v>1</v>
      </c>
      <c r="G65" s="59">
        <f t="shared" si="2"/>
        <v>0</v>
      </c>
    </row>
    <row r="66" spans="2:7" ht="12.75">
      <c r="B66" s="45" t="s">
        <v>295</v>
      </c>
      <c r="C66" s="1"/>
      <c r="D66" s="1"/>
      <c r="E66" s="1"/>
      <c r="F66" s="1"/>
      <c r="G66" s="130">
        <f>ROUND((G57+G59+G64+G63+G62+G58+G65),2)</f>
        <v>19449</v>
      </c>
    </row>
    <row r="67" spans="2:7" ht="27" customHeight="1" thickBot="1">
      <c r="B67" s="47" t="s">
        <v>254</v>
      </c>
      <c r="C67" s="56"/>
      <c r="D67" s="56"/>
      <c r="E67" s="56"/>
      <c r="F67" s="56"/>
      <c r="G67" s="61">
        <f>ROUND(C67*D67*E67*F67,2)</f>
        <v>0</v>
      </c>
    </row>
    <row r="68" ht="12.75">
      <c r="B68" s="2"/>
    </row>
    <row r="69" ht="12.75">
      <c r="B69" s="2"/>
    </row>
    <row r="70" ht="12.75">
      <c r="B70" s="2"/>
    </row>
    <row r="72" spans="2:7" ht="18.75">
      <c r="B72" s="668" t="s">
        <v>319</v>
      </c>
      <c r="C72" s="669"/>
      <c r="D72" s="669"/>
      <c r="E72" s="669"/>
      <c r="F72" s="669"/>
      <c r="G72" s="669"/>
    </row>
    <row r="73" spans="2:5" ht="45">
      <c r="B73" s="129" t="s">
        <v>354</v>
      </c>
      <c r="C73" s="306" t="s">
        <v>250</v>
      </c>
      <c r="D73" s="306" t="s">
        <v>249</v>
      </c>
      <c r="E73" s="129" t="s">
        <v>356</v>
      </c>
    </row>
    <row r="74" spans="2:5" ht="15">
      <c r="B74" s="145" t="s">
        <v>227</v>
      </c>
      <c r="C74" s="125">
        <v>101860</v>
      </c>
      <c r="D74" s="1">
        <v>1</v>
      </c>
      <c r="E74" s="1">
        <f aca="true" t="shared" si="3" ref="E74:E81">C74*D74</f>
        <v>101860</v>
      </c>
    </row>
    <row r="75" spans="2:5" ht="15">
      <c r="B75" s="145" t="s">
        <v>228</v>
      </c>
      <c r="C75" s="125">
        <v>55355</v>
      </c>
      <c r="D75" s="1">
        <v>1</v>
      </c>
      <c r="E75" s="1">
        <f t="shared" si="3"/>
        <v>55355</v>
      </c>
    </row>
    <row r="76" spans="2:5" ht="15">
      <c r="B76" s="125" t="s">
        <v>229</v>
      </c>
      <c r="C76" s="125">
        <v>14995</v>
      </c>
      <c r="D76" s="1">
        <v>1</v>
      </c>
      <c r="E76" s="1">
        <f t="shared" si="3"/>
        <v>14995</v>
      </c>
    </row>
    <row r="77" spans="2:5" ht="15">
      <c r="B77" s="125" t="s">
        <v>230</v>
      </c>
      <c r="C77" s="125">
        <v>73510</v>
      </c>
      <c r="D77" s="1">
        <v>1</v>
      </c>
      <c r="E77" s="1">
        <f t="shared" si="3"/>
        <v>73510</v>
      </c>
    </row>
    <row r="78" spans="2:5" ht="15">
      <c r="B78" s="125" t="s">
        <v>231</v>
      </c>
      <c r="C78" s="125">
        <v>44980</v>
      </c>
      <c r="D78" s="1">
        <v>1</v>
      </c>
      <c r="E78" s="1">
        <f t="shared" si="3"/>
        <v>44980</v>
      </c>
    </row>
    <row r="79" spans="2:5" ht="15">
      <c r="B79" s="125"/>
      <c r="C79" s="125"/>
      <c r="D79" s="125"/>
      <c r="E79" s="1">
        <f t="shared" si="3"/>
        <v>0</v>
      </c>
    </row>
    <row r="80" spans="2:5" ht="15">
      <c r="B80" s="125"/>
      <c r="C80" s="125"/>
      <c r="D80" s="125"/>
      <c r="E80" s="1">
        <f t="shared" si="3"/>
        <v>0</v>
      </c>
    </row>
    <row r="81" spans="2:5" ht="15">
      <c r="B81" s="125"/>
      <c r="C81" s="125"/>
      <c r="D81" s="125"/>
      <c r="E81" s="1">
        <f t="shared" si="3"/>
        <v>0</v>
      </c>
    </row>
    <row r="82" spans="2:5" ht="14.25">
      <c r="B82" s="126" t="s">
        <v>313</v>
      </c>
      <c r="C82" s="126"/>
      <c r="D82" s="126"/>
      <c r="E82" s="1">
        <f>ROUND(SUM(E74:E81),2)</f>
        <v>290700</v>
      </c>
    </row>
    <row r="83" spans="2:5" ht="14.25">
      <c r="B83" s="369"/>
      <c r="C83" s="369"/>
      <c r="D83" s="369"/>
      <c r="E83" s="13"/>
    </row>
    <row r="84" spans="2:5" ht="14.25">
      <c r="B84" s="369"/>
      <c r="C84" s="369"/>
      <c r="D84" s="369"/>
      <c r="E84" s="13"/>
    </row>
    <row r="85" spans="2:5" ht="14.25">
      <c r="B85" s="369"/>
      <c r="C85" s="369"/>
      <c r="D85" s="369"/>
      <c r="E85" s="13"/>
    </row>
    <row r="86" spans="2:5" ht="14.25">
      <c r="B86" s="369"/>
      <c r="C86" s="369"/>
      <c r="D86" s="369"/>
      <c r="E86" s="13"/>
    </row>
    <row r="87" spans="2:5" ht="14.25">
      <c r="B87" s="369"/>
      <c r="C87" s="369"/>
      <c r="D87" s="369"/>
      <c r="E87" s="13"/>
    </row>
    <row r="88" spans="2:5" ht="14.25">
      <c r="B88" s="369"/>
      <c r="C88" s="369"/>
      <c r="D88" s="369"/>
      <c r="E88" s="13"/>
    </row>
    <row r="89" spans="2:5" ht="14.25">
      <c r="B89" s="369"/>
      <c r="C89" s="369"/>
      <c r="D89" s="369"/>
      <c r="E89" s="13"/>
    </row>
    <row r="90" spans="2:5" ht="14.25">
      <c r="B90" s="369"/>
      <c r="C90" s="369"/>
      <c r="D90" s="369"/>
      <c r="E90" s="13"/>
    </row>
    <row r="91" spans="2:7" ht="18.75">
      <c r="B91" s="670" t="s">
        <v>304</v>
      </c>
      <c r="C91" s="671"/>
      <c r="D91" s="671"/>
      <c r="E91" s="671"/>
      <c r="F91" s="671"/>
      <c r="G91" s="671"/>
    </row>
    <row r="92" ht="13.5" thickBot="1"/>
    <row r="93" spans="2:7" ht="25.5">
      <c r="B93" s="57"/>
      <c r="C93" s="53" t="s">
        <v>249</v>
      </c>
      <c r="D93" s="53" t="s">
        <v>250</v>
      </c>
      <c r="E93" s="53" t="s">
        <v>235</v>
      </c>
      <c r="F93" s="43" t="s">
        <v>236</v>
      </c>
      <c r="G93" s="54" t="s">
        <v>251</v>
      </c>
    </row>
    <row r="94" spans="2:8" ht="12.75">
      <c r="B94" s="45" t="s">
        <v>357</v>
      </c>
      <c r="C94" s="1">
        <v>1600</v>
      </c>
      <c r="D94" s="1">
        <v>62</v>
      </c>
      <c r="E94" s="1">
        <v>1</v>
      </c>
      <c r="F94" s="1">
        <v>1</v>
      </c>
      <c r="G94" s="501">
        <f aca="true" t="shared" si="4" ref="G94:G110">ROUND(C94*D94*E94*F94,2)</f>
        <v>99200</v>
      </c>
      <c r="H94" t="s">
        <v>153</v>
      </c>
    </row>
    <row r="95" spans="2:7" ht="12.75">
      <c r="B95" s="45" t="s">
        <v>357</v>
      </c>
      <c r="C95" s="1">
        <v>1410</v>
      </c>
      <c r="D95" s="1">
        <v>3</v>
      </c>
      <c r="E95" s="1">
        <v>1</v>
      </c>
      <c r="F95" s="1">
        <v>1</v>
      </c>
      <c r="G95" s="499">
        <f t="shared" si="4"/>
        <v>4230</v>
      </c>
    </row>
    <row r="96" spans="2:8" ht="12.75">
      <c r="B96" s="45" t="s">
        <v>224</v>
      </c>
      <c r="C96" s="1">
        <v>150</v>
      </c>
      <c r="D96" s="1">
        <v>65</v>
      </c>
      <c r="E96" s="1">
        <v>1</v>
      </c>
      <c r="F96" s="1">
        <v>1</v>
      </c>
      <c r="G96" s="500">
        <f t="shared" si="4"/>
        <v>9750</v>
      </c>
      <c r="H96" t="s">
        <v>153</v>
      </c>
    </row>
    <row r="97" spans="2:7" ht="12.75" hidden="1">
      <c r="B97" s="45" t="s">
        <v>357</v>
      </c>
      <c r="C97" s="1"/>
      <c r="D97" s="1"/>
      <c r="E97" s="1"/>
      <c r="F97" s="1">
        <v>1</v>
      </c>
      <c r="G97" s="500">
        <f t="shared" si="4"/>
        <v>0</v>
      </c>
    </row>
    <row r="98" spans="2:8" ht="12.75" hidden="1">
      <c r="B98" s="45" t="s">
        <v>363</v>
      </c>
      <c r="C98" s="1"/>
      <c r="D98" s="1"/>
      <c r="E98" s="1"/>
      <c r="F98" s="1">
        <v>1</v>
      </c>
      <c r="G98" s="500">
        <f t="shared" si="4"/>
        <v>0</v>
      </c>
      <c r="H98" t="s">
        <v>153</v>
      </c>
    </row>
    <row r="99" spans="2:7" ht="12.75">
      <c r="B99" s="45" t="s">
        <v>357</v>
      </c>
      <c r="C99" s="1"/>
      <c r="D99" s="1"/>
      <c r="E99" s="1"/>
      <c r="F99" s="1">
        <v>1</v>
      </c>
      <c r="G99" s="500">
        <f t="shared" si="4"/>
        <v>0</v>
      </c>
    </row>
    <row r="100" spans="2:8" ht="25.5">
      <c r="B100" s="60" t="s">
        <v>196</v>
      </c>
      <c r="C100" s="1">
        <v>2060</v>
      </c>
      <c r="D100" s="1">
        <v>1</v>
      </c>
      <c r="E100" s="1">
        <v>12</v>
      </c>
      <c r="F100" s="1">
        <v>1</v>
      </c>
      <c r="G100" s="500">
        <f t="shared" si="4"/>
        <v>24720</v>
      </c>
      <c r="H100" t="s">
        <v>153</v>
      </c>
    </row>
    <row r="101" spans="2:8" ht="12.75" customHeight="1">
      <c r="B101" s="45" t="s">
        <v>169</v>
      </c>
      <c r="C101" s="1">
        <v>2700</v>
      </c>
      <c r="D101" s="1">
        <v>1</v>
      </c>
      <c r="E101" s="1">
        <v>1</v>
      </c>
      <c r="F101" s="1">
        <v>1</v>
      </c>
      <c r="G101" s="499">
        <f t="shared" si="4"/>
        <v>2700</v>
      </c>
      <c r="H101" t="s">
        <v>153</v>
      </c>
    </row>
    <row r="102" spans="2:7" ht="12.75" hidden="1">
      <c r="B102" s="45"/>
      <c r="C102" s="1"/>
      <c r="D102" s="1"/>
      <c r="E102" s="1"/>
      <c r="F102" s="1"/>
      <c r="G102" s="499">
        <f t="shared" si="4"/>
        <v>0</v>
      </c>
    </row>
    <row r="103" spans="2:7" ht="12.75" hidden="1">
      <c r="B103" s="45"/>
      <c r="C103" s="1"/>
      <c r="D103" s="1"/>
      <c r="E103" s="1"/>
      <c r="F103" s="1"/>
      <c r="G103" s="499">
        <f t="shared" si="4"/>
        <v>0</v>
      </c>
    </row>
    <row r="104" spans="2:7" ht="12.75" hidden="1">
      <c r="B104" s="45"/>
      <c r="C104" s="1"/>
      <c r="D104" s="1"/>
      <c r="E104" s="1"/>
      <c r="F104" s="1"/>
      <c r="G104" s="499">
        <f t="shared" si="4"/>
        <v>0</v>
      </c>
    </row>
    <row r="105" spans="2:8" ht="25.5" customHeight="1">
      <c r="B105" s="45" t="s">
        <v>226</v>
      </c>
      <c r="C105" s="1">
        <v>7</v>
      </c>
      <c r="D105" s="1">
        <v>100</v>
      </c>
      <c r="E105" s="1">
        <v>1</v>
      </c>
      <c r="F105" s="1">
        <v>1</v>
      </c>
      <c r="G105" s="499">
        <f t="shared" si="4"/>
        <v>700</v>
      </c>
      <c r="H105" t="s">
        <v>153</v>
      </c>
    </row>
    <row r="106" spans="2:8" ht="12.75" customHeight="1">
      <c r="B106" s="138" t="s">
        <v>225</v>
      </c>
      <c r="C106" s="1">
        <v>2000</v>
      </c>
      <c r="D106" s="1">
        <v>25</v>
      </c>
      <c r="E106" s="1">
        <v>1</v>
      </c>
      <c r="F106" s="1">
        <v>1</v>
      </c>
      <c r="G106" s="499">
        <f t="shared" si="4"/>
        <v>50000</v>
      </c>
      <c r="H106" t="s">
        <v>153</v>
      </c>
    </row>
    <row r="107" spans="2:8" ht="12.75" customHeight="1">
      <c r="B107" s="45" t="s">
        <v>420</v>
      </c>
      <c r="C107" s="1"/>
      <c r="D107" s="1"/>
      <c r="E107" s="1">
        <v>1</v>
      </c>
      <c r="F107" s="1">
        <v>1</v>
      </c>
      <c r="G107" s="59">
        <f t="shared" si="4"/>
        <v>0</v>
      </c>
      <c r="H107" t="s">
        <v>153</v>
      </c>
    </row>
    <row r="108" spans="2:7" ht="12.75" customHeight="1">
      <c r="B108" s="277" t="s">
        <v>421</v>
      </c>
      <c r="C108" s="345"/>
      <c r="D108" s="345"/>
      <c r="E108" s="1">
        <v>1</v>
      </c>
      <c r="F108" s="345">
        <v>1</v>
      </c>
      <c r="G108" s="59">
        <f t="shared" si="4"/>
        <v>0</v>
      </c>
    </row>
    <row r="109" spans="2:7" ht="12.75" customHeight="1">
      <c r="B109" s="277" t="s">
        <v>422</v>
      </c>
      <c r="C109" s="345"/>
      <c r="D109" s="345"/>
      <c r="E109" s="1">
        <v>1</v>
      </c>
      <c r="F109" s="345">
        <v>1</v>
      </c>
      <c r="G109" s="59">
        <f t="shared" si="4"/>
        <v>0</v>
      </c>
    </row>
    <row r="110" spans="2:8" ht="25.5">
      <c r="B110" s="277" t="s">
        <v>191</v>
      </c>
      <c r="C110" s="345">
        <v>3100</v>
      </c>
      <c r="D110" s="345">
        <v>1</v>
      </c>
      <c r="E110" s="345">
        <v>1</v>
      </c>
      <c r="F110" s="345">
        <v>1</v>
      </c>
      <c r="G110" s="59">
        <f t="shared" si="4"/>
        <v>3100</v>
      </c>
      <c r="H110" t="s">
        <v>153</v>
      </c>
    </row>
    <row r="111" spans="2:7" ht="13.5" thickBot="1">
      <c r="B111" s="47" t="s">
        <v>295</v>
      </c>
      <c r="C111" s="56"/>
      <c r="D111" s="56"/>
      <c r="E111" s="56"/>
      <c r="F111" s="56"/>
      <c r="G111" s="299">
        <f>SUM(G94:G110)</f>
        <v>194400</v>
      </c>
    </row>
    <row r="112" ht="12.75">
      <c r="I112" s="131"/>
    </row>
    <row r="113" ht="12.75" hidden="1"/>
    <row r="115" spans="2:83" s="15" customFormat="1" ht="12.75">
      <c r="B115" s="123" t="s">
        <v>444</v>
      </c>
      <c r="D115" s="11" t="s">
        <v>220</v>
      </c>
      <c r="E115" s="11"/>
      <c r="F115" s="141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</row>
    <row r="116" spans="9:83" s="15" customFormat="1" ht="12.75"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</row>
    <row r="117" spans="9:83" s="15" customFormat="1" ht="12.75"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</row>
    <row r="118" spans="2:83" s="15" customFormat="1" ht="12.75">
      <c r="B118" t="s">
        <v>445</v>
      </c>
      <c r="D118" s="11" t="s">
        <v>221</v>
      </c>
      <c r="E118" s="11"/>
      <c r="F118" s="141" t="s">
        <v>307</v>
      </c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</row>
    <row r="119" spans="8:83" s="15" customFormat="1" ht="12.75"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</row>
  </sheetData>
  <sheetProtection/>
  <mergeCells count="11">
    <mergeCell ref="B54:G54"/>
    <mergeCell ref="B72:G72"/>
    <mergeCell ref="B91:G91"/>
    <mergeCell ref="F1:G1"/>
    <mergeCell ref="B24:B25"/>
    <mergeCell ref="B8:B9"/>
    <mergeCell ref="B18:B19"/>
    <mergeCell ref="B6:B7"/>
    <mergeCell ref="B27:B43"/>
    <mergeCell ref="B15:B17"/>
    <mergeCell ref="B2:G2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7" r:id="rId1"/>
  <rowBreaks count="1" manualBreakCount="1">
    <brk id="6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D55"/>
  <sheetViews>
    <sheetView zoomScalePageLayoutView="0" workbookViewId="0" topLeftCell="A1">
      <selection activeCell="A23" sqref="A23:F23"/>
    </sheetView>
  </sheetViews>
  <sheetFormatPr defaultColWidth="9.00390625" defaultRowHeight="12.75"/>
  <cols>
    <col min="1" max="1" width="23.375" style="0" customWidth="1"/>
    <col min="2" max="2" width="16.875" style="0" customWidth="1"/>
    <col min="3" max="4" width="12.875" style="0" customWidth="1"/>
    <col min="5" max="5" width="13.00390625" style="0" customWidth="1"/>
    <col min="6" max="6" width="12.00390625" style="0" customWidth="1"/>
  </cols>
  <sheetData>
    <row r="1" spans="5:6" ht="12.75">
      <c r="E1" s="672" t="s">
        <v>333</v>
      </c>
      <c r="F1" s="672"/>
    </row>
    <row r="2" spans="1:6" ht="18.75">
      <c r="A2" s="668" t="s">
        <v>318</v>
      </c>
      <c r="B2" s="668"/>
      <c r="C2" s="668"/>
      <c r="D2" s="668"/>
      <c r="E2" s="668"/>
      <c r="F2" s="668"/>
    </row>
    <row r="3" spans="1:6" s="13" customFormat="1" ht="12.75">
      <c r="A3" s="12"/>
      <c r="B3" s="12"/>
      <c r="C3" s="12"/>
      <c r="D3" s="12"/>
      <c r="E3" s="12"/>
      <c r="F3" s="12"/>
    </row>
    <row r="4" spans="1:6" ht="13.5" thickBot="1">
      <c r="A4" s="12"/>
      <c r="B4" s="12"/>
      <c r="C4" s="12"/>
      <c r="D4" s="12"/>
      <c r="E4" s="12"/>
      <c r="F4" s="12"/>
    </row>
    <row r="5" spans="1:6" s="2" customFormat="1" ht="25.5">
      <c r="A5" s="57"/>
      <c r="B5" s="53" t="s">
        <v>249</v>
      </c>
      <c r="C5" s="53" t="s">
        <v>250</v>
      </c>
      <c r="D5" s="53" t="s">
        <v>235</v>
      </c>
      <c r="E5" s="43" t="s">
        <v>236</v>
      </c>
      <c r="F5" s="54" t="s">
        <v>251</v>
      </c>
    </row>
    <row r="6" spans="1:6" ht="12.75">
      <c r="A6" s="58" t="s">
        <v>315</v>
      </c>
      <c r="B6" s="1"/>
      <c r="C6" s="1"/>
      <c r="D6" s="1"/>
      <c r="E6" s="1">
        <v>1</v>
      </c>
      <c r="F6" s="59">
        <f>ROUND(B6*C6*D6*E6,2)</f>
        <v>0</v>
      </c>
    </row>
    <row r="7" spans="1:6" ht="12.75">
      <c r="A7" s="58" t="s">
        <v>316</v>
      </c>
      <c r="B7" s="1"/>
      <c r="C7" s="1"/>
      <c r="D7" s="1"/>
      <c r="E7" s="1">
        <v>1</v>
      </c>
      <c r="F7" s="59">
        <f>ROUND(B7*C7*D7*E7,2)</f>
        <v>0</v>
      </c>
    </row>
    <row r="8" spans="1:6" ht="12.75" hidden="1">
      <c r="A8" s="45" t="s">
        <v>300</v>
      </c>
      <c r="B8" s="1"/>
      <c r="C8" s="1">
        <v>1</v>
      </c>
      <c r="D8" s="1">
        <v>1</v>
      </c>
      <c r="E8" s="1">
        <v>1.065</v>
      </c>
      <c r="F8" s="59">
        <f>ROUND(B8*C8*D8*E8,2)</f>
        <v>0</v>
      </c>
    </row>
    <row r="9" spans="1:6" ht="25.5" hidden="1">
      <c r="A9" s="45" t="s">
        <v>301</v>
      </c>
      <c r="B9" s="1"/>
      <c r="C9" s="1">
        <v>1</v>
      </c>
      <c r="D9" s="1">
        <v>12</v>
      </c>
      <c r="E9" s="1">
        <v>1</v>
      </c>
      <c r="F9" s="59">
        <f>ROUND(B9*C9*D9*E9,2)</f>
        <v>0</v>
      </c>
    </row>
    <row r="10" spans="1:6" ht="12.75" hidden="1">
      <c r="A10" s="60" t="s">
        <v>255</v>
      </c>
      <c r="B10" s="1"/>
      <c r="C10" s="1"/>
      <c r="D10" s="1"/>
      <c r="E10" s="1"/>
      <c r="F10" s="59">
        <f>SUM(F6:F9)</f>
        <v>0</v>
      </c>
    </row>
    <row r="11" spans="1:6" ht="12.75" hidden="1">
      <c r="A11" s="60" t="s">
        <v>302</v>
      </c>
      <c r="B11" s="1"/>
      <c r="C11" s="1">
        <v>1</v>
      </c>
      <c r="D11" s="1">
        <v>12</v>
      </c>
      <c r="E11" s="1">
        <v>1.065</v>
      </c>
      <c r="F11" s="59">
        <f>ROUND(B11*C11*D11*E11,2)</f>
        <v>0</v>
      </c>
    </row>
    <row r="12" spans="1:6" ht="38.25" hidden="1">
      <c r="A12" s="60" t="s">
        <v>303</v>
      </c>
      <c r="B12" s="1"/>
      <c r="C12" s="1">
        <v>1</v>
      </c>
      <c r="D12" s="1">
        <v>1</v>
      </c>
      <c r="E12" s="1">
        <v>1</v>
      </c>
      <c r="F12" s="59">
        <f>ROUND(B12*C12*D12*E12,2)</f>
        <v>0</v>
      </c>
    </row>
    <row r="13" spans="1:6" ht="12.75" hidden="1">
      <c r="A13" s="60"/>
      <c r="B13" s="1"/>
      <c r="C13" s="1"/>
      <c r="D13" s="1"/>
      <c r="E13" s="1"/>
      <c r="F13" s="59"/>
    </row>
    <row r="14" spans="1:6" ht="12.75" hidden="1">
      <c r="A14" s="60"/>
      <c r="B14" s="1"/>
      <c r="C14" s="1"/>
      <c r="D14" s="1"/>
      <c r="E14" s="1"/>
      <c r="F14" s="59"/>
    </row>
    <row r="15" spans="1:6" ht="12.75" hidden="1">
      <c r="A15" s="60"/>
      <c r="B15" s="1"/>
      <c r="C15" s="1"/>
      <c r="D15" s="1"/>
      <c r="E15" s="1"/>
      <c r="F15" s="59"/>
    </row>
    <row r="16" spans="1:6" ht="12.75" hidden="1">
      <c r="A16" s="60"/>
      <c r="B16" s="1"/>
      <c r="C16" s="1"/>
      <c r="D16" s="1"/>
      <c r="E16" s="1"/>
      <c r="F16" s="59"/>
    </row>
    <row r="17" spans="1:6" ht="12.75" hidden="1">
      <c r="A17" s="60"/>
      <c r="B17" s="1"/>
      <c r="C17" s="1"/>
      <c r="D17" s="1"/>
      <c r="E17" s="1"/>
      <c r="F17" s="59"/>
    </row>
    <row r="18" spans="1:6" ht="12.75" hidden="1">
      <c r="A18" s="60"/>
      <c r="B18" s="1"/>
      <c r="C18" s="1"/>
      <c r="D18" s="1"/>
      <c r="E18" s="1"/>
      <c r="F18" s="59"/>
    </row>
    <row r="19" spans="1:6" ht="12.75" hidden="1">
      <c r="A19" s="60"/>
      <c r="B19" s="1"/>
      <c r="C19" s="1"/>
      <c r="D19" s="1"/>
      <c r="E19" s="1"/>
      <c r="F19" s="59"/>
    </row>
    <row r="20" spans="1:6" ht="12.75" hidden="1">
      <c r="A20" s="60"/>
      <c r="B20" s="1"/>
      <c r="C20" s="1"/>
      <c r="D20" s="1"/>
      <c r="E20" s="1"/>
      <c r="F20" s="59"/>
    </row>
    <row r="21" spans="1:6" ht="12.75" hidden="1">
      <c r="A21" s="60"/>
      <c r="B21" s="1"/>
      <c r="C21" s="1"/>
      <c r="D21" s="1"/>
      <c r="E21" s="1"/>
      <c r="F21" s="59"/>
    </row>
    <row r="22" spans="1:6" ht="13.5" thickBot="1">
      <c r="A22" s="62"/>
      <c r="B22" s="56"/>
      <c r="C22" s="56"/>
      <c r="D22" s="56"/>
      <c r="E22" s="56"/>
      <c r="F22" s="61"/>
    </row>
    <row r="23" spans="1:6" ht="32.25" customHeight="1">
      <c r="A23" s="668" t="s">
        <v>319</v>
      </c>
      <c r="B23" s="669"/>
      <c r="C23" s="669"/>
      <c r="D23" s="669"/>
      <c r="E23" s="669"/>
      <c r="F23" s="669"/>
    </row>
    <row r="24" ht="13.5" thickBot="1">
      <c r="A24" s="2"/>
    </row>
    <row r="25" spans="1:6" ht="25.5">
      <c r="A25" s="57"/>
      <c r="B25" s="53" t="s">
        <v>249</v>
      </c>
      <c r="C25" s="53" t="s">
        <v>250</v>
      </c>
      <c r="D25" s="53" t="s">
        <v>235</v>
      </c>
      <c r="E25" s="43" t="s">
        <v>236</v>
      </c>
      <c r="F25" s="54" t="s">
        <v>251</v>
      </c>
    </row>
    <row r="26" spans="1:6" ht="15">
      <c r="A26" s="145"/>
      <c r="B26" s="125"/>
      <c r="C26" s="1"/>
      <c r="D26" s="1">
        <v>1</v>
      </c>
      <c r="E26" s="1">
        <v>1</v>
      </c>
      <c r="F26" s="59">
        <f>ROUND(B26*C26*D26*E26,2)</f>
        <v>0</v>
      </c>
    </row>
    <row r="27" spans="1:6" ht="15">
      <c r="A27" s="145"/>
      <c r="B27" s="125"/>
      <c r="C27" s="1"/>
      <c r="D27" s="1">
        <v>1</v>
      </c>
      <c r="E27" s="1">
        <v>1</v>
      </c>
      <c r="F27" s="59">
        <f>ROUND(B27*C27*D27*E27,2)</f>
        <v>0</v>
      </c>
    </row>
    <row r="28" spans="1:6" ht="15">
      <c r="A28" s="125"/>
      <c r="B28" s="125"/>
      <c r="C28" s="1"/>
      <c r="D28" s="1">
        <v>1</v>
      </c>
      <c r="E28" s="1">
        <v>1</v>
      </c>
      <c r="F28" s="59">
        <f>ROUND(B28*C28*D28*E28,2)</f>
        <v>0</v>
      </c>
    </row>
    <row r="29" spans="1:6" ht="15">
      <c r="A29" s="125"/>
      <c r="B29" s="125"/>
      <c r="C29" s="1"/>
      <c r="D29" s="1">
        <v>1</v>
      </c>
      <c r="E29" s="1">
        <v>1</v>
      </c>
      <c r="F29" s="59">
        <f>ROUND(B29*C29*D29*E29,2)</f>
        <v>0</v>
      </c>
    </row>
    <row r="30" spans="1:6" ht="15">
      <c r="A30" s="125"/>
      <c r="B30" s="125"/>
      <c r="C30" s="1"/>
      <c r="D30" s="1">
        <v>1</v>
      </c>
      <c r="E30" s="1">
        <v>1</v>
      </c>
      <c r="F30" s="59">
        <f>ROUND(B30*C30*D30*E30,2)</f>
        <v>0</v>
      </c>
    </row>
    <row r="31" spans="1:6" ht="13.5" thickBot="1">
      <c r="A31" s="47" t="s">
        <v>295</v>
      </c>
      <c r="B31" s="56"/>
      <c r="C31" s="56"/>
      <c r="D31" s="56"/>
      <c r="E31" s="56"/>
      <c r="F31" s="61">
        <f>F26+F27+F28+F29+F30</f>
        <v>0</v>
      </c>
    </row>
    <row r="32" ht="12.75">
      <c r="A32" s="2"/>
    </row>
    <row r="33" ht="12.75">
      <c r="A33" s="2"/>
    </row>
    <row r="34" spans="1:6" ht="37.5" customHeight="1">
      <c r="A34" s="682" t="s">
        <v>320</v>
      </c>
      <c r="B34" s="683"/>
      <c r="C34" s="683"/>
      <c r="D34" s="683"/>
      <c r="E34" s="683"/>
      <c r="F34" s="684"/>
    </row>
    <row r="35" ht="12.75">
      <c r="A35" s="3"/>
    </row>
    <row r="36" ht="13.5" thickBot="1">
      <c r="A36" s="3"/>
    </row>
    <row r="37" spans="1:6" ht="51">
      <c r="A37" s="52"/>
      <c r="B37" s="53" t="s">
        <v>241</v>
      </c>
      <c r="C37" s="53" t="s">
        <v>242</v>
      </c>
      <c r="D37" s="53"/>
      <c r="E37" s="53"/>
      <c r="F37" s="54" t="s">
        <v>243</v>
      </c>
    </row>
    <row r="38" spans="1:6" ht="12.75">
      <c r="A38" s="58" t="s">
        <v>317</v>
      </c>
      <c r="B38" s="1"/>
      <c r="C38" s="1">
        <v>1</v>
      </c>
      <c r="D38" s="1"/>
      <c r="E38" s="1"/>
      <c r="F38" s="59">
        <f>ROUND(B38*C38,2)</f>
        <v>0</v>
      </c>
    </row>
    <row r="39" spans="1:6" ht="13.5" thickBot="1">
      <c r="A39" s="63"/>
      <c r="B39" s="56"/>
      <c r="C39" s="56"/>
      <c r="D39" s="56"/>
      <c r="E39" s="56"/>
      <c r="F39" s="61">
        <f>ROUND(B39*C39*D39*E39,2)</f>
        <v>0</v>
      </c>
    </row>
    <row r="42" spans="1:6" ht="18.75">
      <c r="A42" s="670" t="s">
        <v>321</v>
      </c>
      <c r="B42" s="671"/>
      <c r="C42" s="671"/>
      <c r="D42" s="671"/>
      <c r="E42" s="671"/>
      <c r="F42" s="671"/>
    </row>
    <row r="43" ht="13.5" thickBot="1"/>
    <row r="44" spans="1:6" ht="25.5">
      <c r="A44" s="57"/>
      <c r="B44" s="53" t="s">
        <v>249</v>
      </c>
      <c r="C44" s="53" t="s">
        <v>250</v>
      </c>
      <c r="D44" s="53" t="s">
        <v>235</v>
      </c>
      <c r="E44" s="43" t="s">
        <v>236</v>
      </c>
      <c r="F44" s="54" t="s">
        <v>251</v>
      </c>
    </row>
    <row r="45" spans="1:6" ht="12.75">
      <c r="A45" s="45"/>
      <c r="B45" s="1"/>
      <c r="C45" s="1"/>
      <c r="D45" s="1"/>
      <c r="E45" s="1"/>
      <c r="F45" s="59">
        <f>ROUND(B45*C45*D45*E45,2)</f>
        <v>0</v>
      </c>
    </row>
    <row r="46" spans="1:6" ht="12.75">
      <c r="A46" s="45"/>
      <c r="B46" s="1"/>
      <c r="C46" s="1"/>
      <c r="D46" s="1"/>
      <c r="E46" s="1"/>
      <c r="F46" s="59">
        <f>ROUND(B46*C46*D46*E46,2)</f>
        <v>0</v>
      </c>
    </row>
    <row r="47" spans="1:6" ht="13.5" thickBot="1">
      <c r="A47" s="47"/>
      <c r="B47" s="56"/>
      <c r="C47" s="56"/>
      <c r="D47" s="56"/>
      <c r="E47" s="56"/>
      <c r="F47" s="61">
        <f>ROUND(B47*C47*D47*E47,2)</f>
        <v>0</v>
      </c>
    </row>
    <row r="51" spans="1:82" s="15" customFormat="1" ht="12.75">
      <c r="A51" s="123" t="s">
        <v>353</v>
      </c>
      <c r="C51" s="124"/>
      <c r="D51" s="11" t="s">
        <v>220</v>
      </c>
      <c r="E51" s="141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</row>
    <row r="52" spans="8:82" s="15" customFormat="1" ht="12.75"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</row>
    <row r="53" spans="8:82" s="15" customFormat="1" ht="12.75"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</row>
    <row r="54" spans="1:82" s="15" customFormat="1" ht="12.75">
      <c r="A54" t="s">
        <v>338</v>
      </c>
      <c r="D54" s="11" t="s">
        <v>221</v>
      </c>
      <c r="E54" s="141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</row>
    <row r="55" spans="7:82" s="15" customFormat="1" ht="12.75"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</row>
  </sheetData>
  <sheetProtection/>
  <mergeCells count="5">
    <mergeCell ref="A42:F42"/>
    <mergeCell ref="E1:F1"/>
    <mergeCell ref="A2:F2"/>
    <mergeCell ref="A23:F23"/>
    <mergeCell ref="A34:F3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D41"/>
  <sheetViews>
    <sheetView view="pageBreakPreview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3.125" style="0" customWidth="1"/>
    <col min="2" max="2" width="27.75390625" style="3" customWidth="1"/>
    <col min="3" max="3" width="10.875" style="3" customWidth="1"/>
    <col min="4" max="4" width="13.375" style="0" customWidth="1"/>
    <col min="5" max="5" width="13.625" style="0" customWidth="1"/>
    <col min="6" max="6" width="10.25390625" style="0" customWidth="1"/>
    <col min="7" max="7" width="15.375" style="0" customWidth="1"/>
    <col min="8" max="8" width="12.00390625" style="0" customWidth="1"/>
    <col min="9" max="9" width="11.75390625" style="0" bestFit="1" customWidth="1"/>
  </cols>
  <sheetData>
    <row r="1" ht="12.75">
      <c r="G1" s="11"/>
    </row>
    <row r="2" spans="2:7" ht="15">
      <c r="B2" s="685" t="s">
        <v>248</v>
      </c>
      <c r="C2" s="685"/>
      <c r="D2" s="685"/>
      <c r="E2" s="685"/>
      <c r="F2" s="685"/>
      <c r="G2" s="685"/>
    </row>
    <row r="4" ht="13.5" thickBot="1"/>
    <row r="5" spans="2:7" s="2" customFormat="1" ht="63.75">
      <c r="B5" s="52"/>
      <c r="C5" s="66" t="s">
        <v>334</v>
      </c>
      <c r="D5" s="53" t="s">
        <v>242</v>
      </c>
      <c r="E5" s="53" t="s">
        <v>347</v>
      </c>
      <c r="F5" s="132" t="s">
        <v>236</v>
      </c>
      <c r="G5" s="54" t="s">
        <v>323</v>
      </c>
    </row>
    <row r="6" spans="2:7" ht="12.75" hidden="1">
      <c r="B6" s="45" t="s">
        <v>293</v>
      </c>
      <c r="C6" s="67" t="s">
        <v>335</v>
      </c>
      <c r="D6" s="68"/>
      <c r="E6" s="68"/>
      <c r="F6" s="68">
        <v>1</v>
      </c>
      <c r="G6" s="69">
        <f>ROUND(D6*E6*F6,2)</f>
        <v>0</v>
      </c>
    </row>
    <row r="7" spans="2:7" ht="12.75">
      <c r="B7" s="45" t="s">
        <v>293</v>
      </c>
      <c r="C7" s="67" t="s">
        <v>335</v>
      </c>
      <c r="D7" s="366">
        <v>1092.814332</v>
      </c>
      <c r="E7" s="366">
        <v>18.42</v>
      </c>
      <c r="F7" s="434">
        <v>1</v>
      </c>
      <c r="G7" s="505">
        <f>ROUND(D7*E7,2)</f>
        <v>20129.64</v>
      </c>
    </row>
    <row r="8" spans="2:7" ht="12.75">
      <c r="B8" s="45" t="s">
        <v>293</v>
      </c>
      <c r="C8" s="67" t="s">
        <v>335</v>
      </c>
      <c r="D8" s="366">
        <v>822</v>
      </c>
      <c r="E8" s="366">
        <v>21.16</v>
      </c>
      <c r="F8" s="434">
        <v>1</v>
      </c>
      <c r="G8" s="505">
        <f aca="true" t="shared" si="0" ref="G8:G28">ROUND(D8*E8,2)</f>
        <v>17393.52</v>
      </c>
    </row>
    <row r="9" spans="2:7" ht="13.5" customHeight="1" hidden="1">
      <c r="B9" s="45" t="s">
        <v>293</v>
      </c>
      <c r="C9" s="67" t="s">
        <v>335</v>
      </c>
      <c r="D9" s="366"/>
      <c r="E9" s="366"/>
      <c r="F9" s="434">
        <v>1</v>
      </c>
      <c r="G9" s="505">
        <f t="shared" si="0"/>
        <v>0</v>
      </c>
    </row>
    <row r="10" spans="2:7" ht="12.75" customHeight="1" hidden="1">
      <c r="B10" s="45" t="s">
        <v>293</v>
      </c>
      <c r="C10" s="67" t="s">
        <v>335</v>
      </c>
      <c r="D10" s="366"/>
      <c r="E10" s="366"/>
      <c r="F10" s="434">
        <v>1</v>
      </c>
      <c r="G10" s="505">
        <f t="shared" si="0"/>
        <v>0</v>
      </c>
    </row>
    <row r="11" spans="2:8" ht="12.75" customHeight="1" hidden="1">
      <c r="B11" s="45" t="s">
        <v>293</v>
      </c>
      <c r="C11" s="67" t="s">
        <v>335</v>
      </c>
      <c r="D11" s="366"/>
      <c r="E11" s="366"/>
      <c r="F11" s="434">
        <v>1</v>
      </c>
      <c r="G11" s="505">
        <f t="shared" si="0"/>
        <v>0</v>
      </c>
      <c r="H11" s="33"/>
    </row>
    <row r="12" spans="2:8" ht="12.75" customHeight="1" hidden="1">
      <c r="B12" s="45" t="s">
        <v>293</v>
      </c>
      <c r="C12" s="67" t="s">
        <v>335</v>
      </c>
      <c r="D12" s="366"/>
      <c r="E12" s="366"/>
      <c r="F12" s="434">
        <v>1</v>
      </c>
      <c r="G12" s="505">
        <f t="shared" si="0"/>
        <v>0</v>
      </c>
      <c r="H12" s="33"/>
    </row>
    <row r="13" spans="2:8" ht="12.75">
      <c r="B13" s="45" t="s">
        <v>292</v>
      </c>
      <c r="C13" s="67" t="s">
        <v>335</v>
      </c>
      <c r="D13" s="366">
        <v>12.22</v>
      </c>
      <c r="E13" s="366">
        <v>1722.7627</v>
      </c>
      <c r="F13" s="434">
        <v>1</v>
      </c>
      <c r="G13" s="505">
        <f t="shared" si="0"/>
        <v>21052.16</v>
      </c>
      <c r="H13" s="33"/>
    </row>
    <row r="14" spans="2:7" ht="12.75">
      <c r="B14" s="45" t="s">
        <v>292</v>
      </c>
      <c r="C14" s="67" t="s">
        <v>335</v>
      </c>
      <c r="D14" s="366">
        <v>14.04</v>
      </c>
      <c r="E14" s="366">
        <v>1074.64</v>
      </c>
      <c r="F14" s="434">
        <v>1</v>
      </c>
      <c r="G14" s="505">
        <f t="shared" si="0"/>
        <v>15087.95</v>
      </c>
    </row>
    <row r="15" spans="2:7" ht="12.75" hidden="1">
      <c r="B15" s="45" t="s">
        <v>292</v>
      </c>
      <c r="C15" s="67" t="s">
        <v>335</v>
      </c>
      <c r="D15" s="366"/>
      <c r="E15" s="366"/>
      <c r="F15" s="434">
        <v>1</v>
      </c>
      <c r="G15" s="505">
        <f t="shared" si="0"/>
        <v>0</v>
      </c>
    </row>
    <row r="16" spans="2:7" ht="12.75" hidden="1">
      <c r="B16" s="45" t="s">
        <v>292</v>
      </c>
      <c r="C16" s="67" t="s">
        <v>335</v>
      </c>
      <c r="D16" s="366"/>
      <c r="E16" s="366"/>
      <c r="F16" s="434">
        <v>1</v>
      </c>
      <c r="G16" s="505">
        <f t="shared" si="0"/>
        <v>0</v>
      </c>
    </row>
    <row r="17" spans="2:7" ht="12.75" hidden="1">
      <c r="B17" s="45" t="s">
        <v>292</v>
      </c>
      <c r="C17" s="67" t="s">
        <v>335</v>
      </c>
      <c r="D17" s="366"/>
      <c r="E17" s="366"/>
      <c r="F17" s="434">
        <v>1</v>
      </c>
      <c r="G17" s="505">
        <f t="shared" si="0"/>
        <v>0</v>
      </c>
    </row>
    <row r="18" spans="2:7" ht="12.75" hidden="1">
      <c r="B18" s="45" t="s">
        <v>292</v>
      </c>
      <c r="C18" s="67" t="s">
        <v>335</v>
      </c>
      <c r="D18" s="374"/>
      <c r="E18" s="366"/>
      <c r="F18" s="434">
        <v>1</v>
      </c>
      <c r="G18" s="505">
        <f t="shared" si="0"/>
        <v>0</v>
      </c>
    </row>
    <row r="19" spans="2:8" ht="12.75">
      <c r="B19" s="55" t="s">
        <v>244</v>
      </c>
      <c r="C19" s="67" t="s">
        <v>335</v>
      </c>
      <c r="D19" s="366">
        <v>121.92</v>
      </c>
      <c r="E19" s="374">
        <v>629.94324</v>
      </c>
      <c r="F19" s="434">
        <v>1</v>
      </c>
      <c r="G19" s="505">
        <f t="shared" si="0"/>
        <v>76802.68</v>
      </c>
      <c r="H19" s="33"/>
    </row>
    <row r="20" spans="2:7" ht="12.75" customHeight="1">
      <c r="B20" s="55" t="s">
        <v>244</v>
      </c>
      <c r="C20" s="67" t="s">
        <v>335</v>
      </c>
      <c r="D20" s="366">
        <v>134.8</v>
      </c>
      <c r="E20" s="366">
        <v>252.64</v>
      </c>
      <c r="F20" s="434">
        <v>1</v>
      </c>
      <c r="G20" s="505">
        <f t="shared" si="0"/>
        <v>34055.87</v>
      </c>
    </row>
    <row r="21" spans="2:7" ht="12.75" hidden="1">
      <c r="B21" s="55" t="s">
        <v>244</v>
      </c>
      <c r="C21" s="70" t="s">
        <v>335</v>
      </c>
      <c r="D21" s="366"/>
      <c r="E21" s="366"/>
      <c r="F21" s="434">
        <v>1</v>
      </c>
      <c r="G21" s="505">
        <f t="shared" si="0"/>
        <v>0</v>
      </c>
    </row>
    <row r="22" spans="2:7" ht="12.75" hidden="1">
      <c r="B22" s="55" t="s">
        <v>244</v>
      </c>
      <c r="C22" s="70" t="s">
        <v>335</v>
      </c>
      <c r="D22" s="374"/>
      <c r="E22" s="366"/>
      <c r="F22" s="434">
        <v>1</v>
      </c>
      <c r="G22" s="505">
        <f t="shared" si="0"/>
        <v>0</v>
      </c>
    </row>
    <row r="23" spans="2:9" ht="12.75">
      <c r="B23" s="55" t="s">
        <v>245</v>
      </c>
      <c r="C23" s="70" t="s">
        <v>336</v>
      </c>
      <c r="D23" s="366">
        <v>1568.23</v>
      </c>
      <c r="E23" s="366">
        <v>312.253</v>
      </c>
      <c r="F23" s="434">
        <v>1</v>
      </c>
      <c r="G23" s="505">
        <f t="shared" si="0"/>
        <v>489684.52</v>
      </c>
      <c r="H23" s="33"/>
      <c r="I23" s="146"/>
    </row>
    <row r="24" spans="2:9" ht="12.75">
      <c r="B24" s="55" t="s">
        <v>245</v>
      </c>
      <c r="C24" s="70" t="s">
        <v>336</v>
      </c>
      <c r="D24" s="366">
        <v>1721.92</v>
      </c>
      <c r="E24" s="366">
        <v>98.07</v>
      </c>
      <c r="F24" s="434">
        <v>1</v>
      </c>
      <c r="G24" s="505">
        <f t="shared" si="0"/>
        <v>168868.69</v>
      </c>
      <c r="I24" s="146"/>
    </row>
    <row r="25" spans="2:9" ht="12.75" hidden="1">
      <c r="B25" s="55" t="s">
        <v>245</v>
      </c>
      <c r="C25" s="70" t="s">
        <v>336</v>
      </c>
      <c r="D25" s="366"/>
      <c r="E25" s="366"/>
      <c r="F25" s="434">
        <v>1</v>
      </c>
      <c r="G25" s="502">
        <f t="shared" si="0"/>
        <v>0</v>
      </c>
      <c r="I25" s="146"/>
    </row>
    <row r="26" spans="2:9" ht="12.75" hidden="1">
      <c r="B26" s="55" t="s">
        <v>245</v>
      </c>
      <c r="C26" s="70" t="s">
        <v>336</v>
      </c>
      <c r="D26" s="366"/>
      <c r="E26" s="366"/>
      <c r="F26" s="434">
        <v>1</v>
      </c>
      <c r="G26" s="502">
        <f t="shared" si="0"/>
        <v>0</v>
      </c>
      <c r="I26" s="146"/>
    </row>
    <row r="27" spans="2:9" ht="12.75" hidden="1">
      <c r="B27" s="55" t="s">
        <v>245</v>
      </c>
      <c r="C27" s="70" t="s">
        <v>336</v>
      </c>
      <c r="D27" s="366"/>
      <c r="E27" s="366"/>
      <c r="F27" s="434">
        <v>1</v>
      </c>
      <c r="G27" s="502">
        <f t="shared" si="0"/>
        <v>0</v>
      </c>
      <c r="I27" s="146"/>
    </row>
    <row r="28" spans="2:9" ht="12.75" hidden="1">
      <c r="B28" s="55" t="s">
        <v>245</v>
      </c>
      <c r="C28" s="70" t="s">
        <v>336</v>
      </c>
      <c r="D28" s="380"/>
      <c r="E28" s="366"/>
      <c r="F28" s="434">
        <v>1</v>
      </c>
      <c r="G28" s="502">
        <f t="shared" si="0"/>
        <v>0</v>
      </c>
      <c r="I28" s="146"/>
    </row>
    <row r="29" spans="2:9" ht="38.25">
      <c r="B29" s="45" t="s">
        <v>359</v>
      </c>
      <c r="C29" s="70" t="s">
        <v>337</v>
      </c>
      <c r="D29" s="68"/>
      <c r="E29" s="366">
        <v>152494.97</v>
      </c>
      <c r="F29" s="434">
        <v>1</v>
      </c>
      <c r="G29" s="69">
        <f>E29</f>
        <v>152494.97</v>
      </c>
      <c r="I29" s="146"/>
    </row>
    <row r="30" spans="2:9" ht="12.75">
      <c r="B30" s="277" t="s">
        <v>423</v>
      </c>
      <c r="C30" s="381" t="s">
        <v>337</v>
      </c>
      <c r="D30" s="382"/>
      <c r="E30" s="383"/>
      <c r="F30" s="434">
        <v>1</v>
      </c>
      <c r="G30" s="384">
        <f>E30</f>
        <v>0</v>
      </c>
      <c r="I30" s="146"/>
    </row>
    <row r="31" spans="2:9" ht="23.25" customHeight="1" thickBot="1">
      <c r="B31" s="47" t="s">
        <v>247</v>
      </c>
      <c r="C31" s="274" t="s">
        <v>335</v>
      </c>
      <c r="D31" s="71"/>
      <c r="E31" s="71"/>
      <c r="F31" s="71">
        <v>1</v>
      </c>
      <c r="G31" s="72">
        <f>ROUND(D31*E31*F31,2)</f>
        <v>0</v>
      </c>
      <c r="I31" s="146"/>
    </row>
    <row r="32" spans="2:7" ht="21.75" customHeight="1" hidden="1" thickBot="1">
      <c r="B32" s="295" t="s">
        <v>247</v>
      </c>
      <c r="C32" s="296" t="s">
        <v>335</v>
      </c>
      <c r="D32" s="297"/>
      <c r="E32" s="297"/>
      <c r="F32" s="297"/>
      <c r="G32" s="298">
        <f>ROUND(D32*E32*F32,2)</f>
        <v>0</v>
      </c>
    </row>
    <row r="33" spans="7:9" ht="12.75">
      <c r="G33" s="33"/>
      <c r="I33" s="33"/>
    </row>
    <row r="34" spans="4:9" ht="12.75">
      <c r="D34" s="33"/>
      <c r="I34" s="33"/>
    </row>
    <row r="35" ht="12.75">
      <c r="D35" s="33"/>
    </row>
    <row r="36" spans="4:9" ht="12.75">
      <c r="D36" s="33"/>
      <c r="I36" s="33"/>
    </row>
    <row r="37" spans="2:82" s="15" customFormat="1" ht="12.75">
      <c r="B37" s="123" t="s">
        <v>353</v>
      </c>
      <c r="D37" s="124"/>
      <c r="E37" s="11" t="s">
        <v>220</v>
      </c>
      <c r="F37" s="141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</row>
    <row r="38" spans="8:82" s="15" customFormat="1" ht="12.75"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</row>
    <row r="39" spans="8:82" s="15" customFormat="1" ht="12.75"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</row>
    <row r="40" spans="2:82" s="15" customFormat="1" ht="12.75">
      <c r="B40" t="s">
        <v>338</v>
      </c>
      <c r="E40" s="11" t="s">
        <v>221</v>
      </c>
      <c r="F40" s="141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</row>
    <row r="41" spans="7:82" s="15" customFormat="1" ht="12.75"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</row>
  </sheetData>
  <sheetProtection/>
  <mergeCells count="1">
    <mergeCell ref="B2:G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E23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0.12890625" style="0" customWidth="1"/>
    <col min="2" max="2" width="47.125" style="0" customWidth="1"/>
    <col min="3" max="3" width="15.75390625" style="0" customWidth="1"/>
    <col min="4" max="4" width="14.125" style="0" customWidth="1"/>
    <col min="5" max="5" width="16.75390625" style="0" customWidth="1"/>
    <col min="7" max="7" width="13.25390625" style="0" customWidth="1"/>
  </cols>
  <sheetData>
    <row r="1" spans="6:7" ht="12.75">
      <c r="F1" s="686" t="s">
        <v>350</v>
      </c>
      <c r="G1" s="686"/>
    </row>
    <row r="2" spans="2:5" ht="18.75">
      <c r="B2" s="670" t="s">
        <v>258</v>
      </c>
      <c r="C2" s="672"/>
      <c r="D2" s="672"/>
      <c r="E2" s="672"/>
    </row>
    <row r="3" spans="2:5" ht="18.75">
      <c r="B3" s="14"/>
      <c r="C3" s="11"/>
      <c r="D3" s="11"/>
      <c r="E3" s="11"/>
    </row>
    <row r="4" spans="2:5" ht="19.5" thickBot="1">
      <c r="B4" s="14"/>
      <c r="C4" s="11"/>
      <c r="D4" s="11"/>
      <c r="E4" s="11"/>
    </row>
    <row r="5" spans="2:5" s="10" customFormat="1" ht="48" customHeight="1">
      <c r="B5" s="64"/>
      <c r="C5" s="43" t="s">
        <v>256</v>
      </c>
      <c r="D5" s="65" t="s">
        <v>257</v>
      </c>
      <c r="E5" s="44" t="s">
        <v>258</v>
      </c>
    </row>
    <row r="6" spans="2:5" s="10" customFormat="1" ht="13.5" customHeight="1" hidden="1">
      <c r="B6" s="423"/>
      <c r="C6" s="408"/>
      <c r="D6" s="409">
        <v>1</v>
      </c>
      <c r="E6" s="412">
        <f>ROUND(C6*D6,2)</f>
        <v>0</v>
      </c>
    </row>
    <row r="7" spans="2:5" ht="15">
      <c r="B7" s="490" t="s">
        <v>448</v>
      </c>
      <c r="C7" s="424">
        <v>5501090.91</v>
      </c>
      <c r="D7" s="24">
        <v>0.022</v>
      </c>
      <c r="E7" s="491">
        <f>ROUND(C7*D7/4*4,0)</f>
        <v>121024</v>
      </c>
    </row>
    <row r="8" spans="2:5" ht="15">
      <c r="B8" s="420"/>
      <c r="C8" s="147"/>
      <c r="D8" s="24"/>
      <c r="E8" s="491"/>
    </row>
    <row r="9" spans="2:5" ht="15">
      <c r="B9" s="490" t="s">
        <v>449</v>
      </c>
      <c r="C9" s="424">
        <v>7834859.34</v>
      </c>
      <c r="D9" s="24">
        <v>0.015</v>
      </c>
      <c r="E9" s="491">
        <f>ROUND(C9*D9,0)/4*4</f>
        <v>117523</v>
      </c>
    </row>
    <row r="10" spans="2:5" ht="15" hidden="1">
      <c r="B10" s="490"/>
      <c r="C10" s="147"/>
      <c r="D10" s="24"/>
      <c r="E10" s="491"/>
    </row>
    <row r="11" spans="2:5" ht="15">
      <c r="B11" s="421" t="s">
        <v>308</v>
      </c>
      <c r="C11" s="1"/>
      <c r="D11" s="24"/>
      <c r="E11" s="491">
        <f>ROUND(C11*D11,2)</f>
        <v>0</v>
      </c>
    </row>
    <row r="12" spans="2:5" ht="15">
      <c r="B12" s="421" t="s">
        <v>309</v>
      </c>
      <c r="C12" s="1"/>
      <c r="D12" s="24"/>
      <c r="E12" s="59">
        <f>ROUND(C12*D12,2)</f>
        <v>0</v>
      </c>
    </row>
    <row r="13" spans="2:5" ht="15.75" thickBot="1">
      <c r="B13" s="422" t="s">
        <v>322</v>
      </c>
      <c r="C13" s="278"/>
      <c r="D13" s="56"/>
      <c r="E13" s="61">
        <f>ROUND(C13*D13,2)</f>
        <v>0</v>
      </c>
    </row>
    <row r="19" spans="2:83" s="15" customFormat="1" ht="12.75">
      <c r="B19" s="123" t="s">
        <v>440</v>
      </c>
      <c r="C19" s="11" t="s">
        <v>220</v>
      </c>
      <c r="D19" s="11"/>
      <c r="E19" s="11"/>
      <c r="F19" s="14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</row>
    <row r="20" spans="9:83" s="15" customFormat="1" ht="12.75"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</row>
    <row r="21" spans="9:83" s="15" customFormat="1" ht="12.75"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</row>
    <row r="22" spans="2:83" s="15" customFormat="1" ht="12.75">
      <c r="B22" t="s">
        <v>443</v>
      </c>
      <c r="C22" s="11" t="s">
        <v>221</v>
      </c>
      <c r="D22" s="11"/>
      <c r="E22" s="11"/>
      <c r="F22" s="1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</row>
    <row r="23" spans="8:83" s="15" customFormat="1" ht="12.75"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</row>
  </sheetData>
  <sheetProtection/>
  <mergeCells count="2">
    <mergeCell ref="B2:E2"/>
    <mergeCell ref="F1:G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D165"/>
  <sheetViews>
    <sheetView view="pageBreakPreview" zoomScaleSheetLayoutView="100" zoomScalePageLayoutView="0" workbookViewId="0" topLeftCell="A125">
      <selection activeCell="F162" sqref="F162"/>
    </sheetView>
  </sheetViews>
  <sheetFormatPr defaultColWidth="9.00390625" defaultRowHeight="12.75"/>
  <cols>
    <col min="1" max="1" width="29.00390625" style="15" customWidth="1"/>
    <col min="2" max="2" width="20.125" style="15" customWidth="1"/>
    <col min="3" max="3" width="20.125" style="15" hidden="1" customWidth="1"/>
    <col min="4" max="4" width="25.875" style="15" customWidth="1"/>
    <col min="5" max="5" width="12.00390625" style="15" hidden="1" customWidth="1"/>
    <col min="6" max="6" width="32.75390625" style="15" customWidth="1"/>
    <col min="7" max="9" width="18.375" style="40" customWidth="1"/>
    <col min="10" max="82" width="9.125" style="40" customWidth="1"/>
    <col min="83" max="16384" width="9.125" style="15" customWidth="1"/>
  </cols>
  <sheetData>
    <row r="1" spans="1:6" ht="18.75">
      <c r="A1" s="670" t="s">
        <v>325</v>
      </c>
      <c r="B1" s="670"/>
      <c r="C1" s="670"/>
      <c r="D1" s="670"/>
      <c r="E1" s="670"/>
      <c r="F1" s="670"/>
    </row>
    <row r="2" spans="1:6" ht="62.25" customHeight="1">
      <c r="A2" s="708" t="s">
        <v>352</v>
      </c>
      <c r="B2" s="708"/>
      <c r="C2" s="708"/>
      <c r="D2" s="708"/>
      <c r="E2" s="708"/>
      <c r="F2" s="708"/>
    </row>
    <row r="3" spans="1:6" ht="37.5" customHeight="1">
      <c r="A3" s="709" t="s">
        <v>446</v>
      </c>
      <c r="B3" s="709"/>
      <c r="C3" s="709"/>
      <c r="D3" s="709"/>
      <c r="E3" s="709"/>
      <c r="F3" s="709"/>
    </row>
    <row r="5" spans="1:6" ht="44.25" customHeight="1">
      <c r="A5" s="680" t="s">
        <v>351</v>
      </c>
      <c r="B5" s="707"/>
      <c r="C5" s="707"/>
      <c r="D5" s="707"/>
      <c r="E5" s="707"/>
      <c r="F5" s="707"/>
    </row>
    <row r="6" spans="1:6" ht="31.5" customHeight="1">
      <c r="A6" s="38" t="s">
        <v>329</v>
      </c>
      <c r="B6" s="39"/>
      <c r="C6" s="39"/>
      <c r="D6" s="136">
        <f>'мун.задание'!P74</f>
        <v>342</v>
      </c>
      <c r="E6" s="39"/>
      <c r="F6" s="39"/>
    </row>
    <row r="7" spans="1:6" ht="40.5" customHeight="1" thickBot="1">
      <c r="A7" s="680" t="s">
        <v>259</v>
      </c>
      <c r="B7" s="707"/>
      <c r="C7" s="707"/>
      <c r="D7" s="707"/>
      <c r="E7" s="707"/>
      <c r="F7" s="707"/>
    </row>
    <row r="8" spans="1:6" ht="54.75" customHeight="1" thickBot="1">
      <c r="A8" s="73" t="s">
        <v>260</v>
      </c>
      <c r="B8" s="74" t="s">
        <v>261</v>
      </c>
      <c r="C8" s="74" t="s">
        <v>235</v>
      </c>
      <c r="D8" s="74" t="s">
        <v>262</v>
      </c>
      <c r="E8" s="74" t="s">
        <v>236</v>
      </c>
      <c r="F8" s="75" t="s">
        <v>263</v>
      </c>
    </row>
    <row r="9" spans="1:6" ht="42.75" customHeight="1" thickBot="1">
      <c r="A9" s="704" t="s">
        <v>326</v>
      </c>
      <c r="B9" s="705"/>
      <c r="C9" s="705"/>
      <c r="D9" s="705"/>
      <c r="E9" s="705"/>
      <c r="F9" s="706"/>
    </row>
    <row r="10" spans="1:6" ht="45">
      <c r="A10" s="76" t="s">
        <v>290</v>
      </c>
      <c r="B10" s="77" t="s">
        <v>281</v>
      </c>
      <c r="C10" s="78">
        <v>5</v>
      </c>
      <c r="D10" s="77">
        <f>ROUND(F10/$D$6,2)</f>
        <v>20099.42</v>
      </c>
      <c r="E10" s="77"/>
      <c r="F10" s="79">
        <f>F16+F22</f>
        <v>6874000.56</v>
      </c>
    </row>
    <row r="11" spans="1:6" ht="54.75" customHeight="1">
      <c r="A11" s="80" t="s">
        <v>291</v>
      </c>
      <c r="B11" s="17" t="s">
        <v>281</v>
      </c>
      <c r="C11" s="21">
        <v>9</v>
      </c>
      <c r="D11" s="20">
        <f>ROUND(F11/$D$6,2)</f>
        <v>6070.02</v>
      </c>
      <c r="E11" s="17"/>
      <c r="F11" s="81">
        <f>F17+F23</f>
        <v>2075948.17</v>
      </c>
    </row>
    <row r="12" spans="1:6" ht="45">
      <c r="A12" s="83" t="s">
        <v>283</v>
      </c>
      <c r="B12" s="17" t="s">
        <v>281</v>
      </c>
      <c r="C12" s="17"/>
      <c r="D12" s="20">
        <f>ROUND(F12/$D$6,2)</f>
        <v>318</v>
      </c>
      <c r="E12" s="17"/>
      <c r="F12" s="82">
        <f>F18</f>
        <v>108756</v>
      </c>
    </row>
    <row r="13" spans="1:6" ht="22.5">
      <c r="A13" s="357" t="s">
        <v>195</v>
      </c>
      <c r="B13" s="17" t="s">
        <v>281</v>
      </c>
      <c r="C13" s="21"/>
      <c r="D13" s="20">
        <f>ROUND(F13/$D$6,2)</f>
        <v>37.35</v>
      </c>
      <c r="E13" s="21"/>
      <c r="F13" s="356">
        <f>F19</f>
        <v>12774</v>
      </c>
    </row>
    <row r="14" spans="1:8" ht="13.5" thickBot="1">
      <c r="A14" s="472" t="s">
        <v>313</v>
      </c>
      <c r="B14" s="473"/>
      <c r="C14" s="473"/>
      <c r="D14" s="473">
        <f>ROUND(F14/$D$6,2)</f>
        <v>26524.79</v>
      </c>
      <c r="E14" s="473"/>
      <c r="F14" s="474">
        <f>SUM(F10:F13)</f>
        <v>9071478.73</v>
      </c>
      <c r="G14" s="40" t="s">
        <v>425</v>
      </c>
      <c r="H14" s="40">
        <f>F14/D6</f>
        <v>26524.791608187137</v>
      </c>
    </row>
    <row r="15" spans="1:6" ht="45" customHeight="1" thickBot="1">
      <c r="A15" s="704" t="s">
        <v>192</v>
      </c>
      <c r="B15" s="705"/>
      <c r="C15" s="705"/>
      <c r="D15" s="705"/>
      <c r="E15" s="705"/>
      <c r="F15" s="706"/>
    </row>
    <row r="16" spans="1:6" ht="45.75" customHeight="1">
      <c r="A16" s="76" t="s">
        <v>290</v>
      </c>
      <c r="B16" s="77" t="s">
        <v>281</v>
      </c>
      <c r="C16" s="78">
        <v>5</v>
      </c>
      <c r="D16" s="77">
        <f>ROUND(F16/$D$6,2)</f>
        <v>20099.42</v>
      </c>
      <c r="E16" s="77"/>
      <c r="F16" s="79">
        <f>'прил.1+2'!G9</f>
        <v>6874000.56</v>
      </c>
    </row>
    <row r="17" spans="1:6" ht="58.5" customHeight="1">
      <c r="A17" s="80" t="s">
        <v>291</v>
      </c>
      <c r="B17" s="17" t="s">
        <v>281</v>
      </c>
      <c r="C17" s="21">
        <v>9</v>
      </c>
      <c r="D17" s="20">
        <f>ROUND(F17/$D$6,2)</f>
        <v>6070.02</v>
      </c>
      <c r="E17" s="17"/>
      <c r="F17" s="81">
        <f>'прил.1+2'!H9</f>
        <v>2075948.17</v>
      </c>
    </row>
    <row r="18" spans="1:6" ht="45">
      <c r="A18" s="83" t="s">
        <v>283</v>
      </c>
      <c r="B18" s="17" t="s">
        <v>281</v>
      </c>
      <c r="C18" s="17"/>
      <c r="D18" s="20">
        <f>ROUND(F18/$D$6,2)</f>
        <v>318</v>
      </c>
      <c r="E18" s="17"/>
      <c r="F18" s="82">
        <f>'прил.1+2'!F13</f>
        <v>108756</v>
      </c>
    </row>
    <row r="19" spans="1:6" ht="22.5">
      <c r="A19" s="357" t="str">
        <f>A13</f>
        <v> затраты на доп. проф. образование педагогических работников</v>
      </c>
      <c r="B19" s="17" t="s">
        <v>281</v>
      </c>
      <c r="C19" s="21"/>
      <c r="D19" s="20">
        <f>ROUND(F19/$D$6,2)</f>
        <v>37.35</v>
      </c>
      <c r="E19" s="21"/>
      <c r="F19" s="356">
        <f>'прил.1+2'!F14</f>
        <v>12774</v>
      </c>
    </row>
    <row r="20" spans="1:82" s="31" customFormat="1" ht="21.75" customHeight="1" thickBot="1">
      <c r="A20" s="84" t="s">
        <v>313</v>
      </c>
      <c r="B20" s="85"/>
      <c r="C20" s="85"/>
      <c r="D20" s="85">
        <f>ROUND(F20/D6,2)</f>
        <v>26524.79</v>
      </c>
      <c r="E20" s="85"/>
      <c r="F20" s="86">
        <f>SUM(F16:F19)</f>
        <v>9071478.73</v>
      </c>
      <c r="G20" s="40"/>
      <c r="H20" s="40">
        <f>F20/945</f>
        <v>9599.448391534392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</row>
    <row r="21" spans="1:82" s="31" customFormat="1" ht="42" customHeight="1" thickBot="1">
      <c r="A21" s="704" t="s">
        <v>460</v>
      </c>
      <c r="B21" s="705"/>
      <c r="C21" s="705"/>
      <c r="D21" s="705"/>
      <c r="E21" s="705"/>
      <c r="F21" s="706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</row>
    <row r="22" spans="1:6" ht="48" customHeight="1">
      <c r="A22" s="76" t="s">
        <v>290</v>
      </c>
      <c r="B22" s="77" t="s">
        <v>281</v>
      </c>
      <c r="C22" s="78">
        <v>5</v>
      </c>
      <c r="D22" s="77">
        <f>ROUND(F22/$D$6,2)</f>
        <v>0</v>
      </c>
      <c r="E22" s="77"/>
      <c r="F22" s="79">
        <f>'прил.1+2'!G28</f>
        <v>0</v>
      </c>
    </row>
    <row r="23" spans="1:6" ht="48" customHeight="1">
      <c r="A23" s="80" t="s">
        <v>291</v>
      </c>
      <c r="B23" s="17" t="s">
        <v>281</v>
      </c>
      <c r="C23" s="21">
        <v>9</v>
      </c>
      <c r="D23" s="20">
        <f>ROUND(F23/$D$6,2)</f>
        <v>0</v>
      </c>
      <c r="E23" s="17"/>
      <c r="F23" s="81">
        <f>'прил.1+2'!H28</f>
        <v>0</v>
      </c>
    </row>
    <row r="24" spans="1:6" ht="43.5" customHeight="1" hidden="1">
      <c r="A24" s="83" t="s">
        <v>283</v>
      </c>
      <c r="B24" s="17" t="s">
        <v>281</v>
      </c>
      <c r="C24" s="17"/>
      <c r="D24" s="20">
        <f>ROUND(F24/$D$6,2)</f>
        <v>0</v>
      </c>
      <c r="E24" s="17"/>
      <c r="F24" s="82">
        <f>'прил.1+2'!F19</f>
        <v>0</v>
      </c>
    </row>
    <row r="25" spans="1:6" ht="48" customHeight="1" hidden="1">
      <c r="A25" s="357" t="str">
        <f>A19</f>
        <v> затраты на доп. проф. образование педагогических работников</v>
      </c>
      <c r="B25" s="17" t="s">
        <v>281</v>
      </c>
      <c r="C25" s="21"/>
      <c r="D25" s="20">
        <f>ROUND(F25/$D$6,2)</f>
        <v>0</v>
      </c>
      <c r="E25" s="21"/>
      <c r="F25" s="356">
        <f>'прил.1+2'!F20</f>
        <v>0</v>
      </c>
    </row>
    <row r="26" spans="1:8" ht="14.25" customHeight="1" thickBot="1">
      <c r="A26" s="84" t="s">
        <v>313</v>
      </c>
      <c r="B26" s="85"/>
      <c r="C26" s="85"/>
      <c r="D26" s="85">
        <f>ROUND(F26/D6,2)</f>
        <v>0</v>
      </c>
      <c r="E26" s="85"/>
      <c r="F26" s="86">
        <f>SUM(F22:F25)</f>
        <v>0</v>
      </c>
      <c r="H26" s="40">
        <f>F26/945</f>
        <v>0</v>
      </c>
    </row>
    <row r="27" spans="1:6" ht="26.25" customHeight="1" hidden="1">
      <c r="A27" s="417"/>
      <c r="B27" s="418"/>
      <c r="C27" s="418"/>
      <c r="D27" s="418"/>
      <c r="E27" s="418"/>
      <c r="F27" s="419"/>
    </row>
    <row r="28" spans="1:82" s="31" customFormat="1" ht="26.25" customHeight="1">
      <c r="A28" s="698" t="s">
        <v>294</v>
      </c>
      <c r="B28" s="698"/>
      <c r="C28" s="698"/>
      <c r="D28" s="698"/>
      <c r="E28" s="698"/>
      <c r="F28" s="698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</row>
    <row r="29" spans="1:6" ht="48" customHeight="1" thickBot="1">
      <c r="A29" s="710" t="s">
        <v>339</v>
      </c>
      <c r="B29" s="710"/>
      <c r="C29" s="710"/>
      <c r="D29" s="710"/>
      <c r="E29" s="710"/>
      <c r="F29" s="710"/>
    </row>
    <row r="30" spans="1:6" ht="43.5" customHeight="1">
      <c r="A30" s="76" t="s">
        <v>289</v>
      </c>
      <c r="B30" s="77" t="s">
        <v>281</v>
      </c>
      <c r="C30" s="77">
        <v>5</v>
      </c>
      <c r="D30" s="77">
        <f>ROUND(F30/$D$6,2)</f>
        <v>22041.14</v>
      </c>
      <c r="E30" s="77">
        <v>1</v>
      </c>
      <c r="F30" s="79">
        <f>F36+F40</f>
        <v>7538070.436242134</v>
      </c>
    </row>
    <row r="31" spans="1:6" ht="48" customHeight="1" hidden="1">
      <c r="A31" s="87" t="s">
        <v>289</v>
      </c>
      <c r="B31" s="17" t="s">
        <v>281</v>
      </c>
      <c r="C31" s="21">
        <v>4</v>
      </c>
      <c r="D31" s="20"/>
      <c r="E31" s="17"/>
      <c r="F31" s="82"/>
    </row>
    <row r="32" spans="1:6" ht="54.75" customHeight="1">
      <c r="A32" s="87" t="s">
        <v>288</v>
      </c>
      <c r="B32" s="17" t="s">
        <v>281</v>
      </c>
      <c r="C32" s="21">
        <v>9</v>
      </c>
      <c r="D32" s="20">
        <f>ROUND(F32/$D$6,2)</f>
        <v>6656.43</v>
      </c>
      <c r="E32" s="17">
        <v>1</v>
      </c>
      <c r="F32" s="82">
        <f>F37+F41</f>
        <v>2276497.83</v>
      </c>
    </row>
    <row r="33" spans="1:82" s="31" customFormat="1" ht="26.25" customHeight="1">
      <c r="A33" s="80" t="s">
        <v>287</v>
      </c>
      <c r="B33" s="17" t="s">
        <v>281</v>
      </c>
      <c r="C33" s="21">
        <v>12</v>
      </c>
      <c r="D33" s="20">
        <f>ROUND(F33/$D$6,2)</f>
        <v>7.02</v>
      </c>
      <c r="E33" s="17">
        <v>1</v>
      </c>
      <c r="F33" s="82">
        <f>F42</f>
        <v>2400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</row>
    <row r="34" spans="1:82" s="31" customFormat="1" ht="52.5" customHeight="1" thickBot="1">
      <c r="A34" s="88" t="s">
        <v>313</v>
      </c>
      <c r="B34" s="85"/>
      <c r="C34" s="85"/>
      <c r="D34" s="86">
        <f>ROUND(F34/$D$6,2)</f>
        <v>28704.59</v>
      </c>
      <c r="E34" s="85"/>
      <c r="F34" s="86">
        <f>SUM(F30:F33)</f>
        <v>9816968.266242135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</row>
    <row r="35" spans="1:82" s="31" customFormat="1" ht="47.25" customHeight="1" thickBot="1">
      <c r="A35" s="699" t="s">
        <v>193</v>
      </c>
      <c r="B35" s="700"/>
      <c r="C35" s="700"/>
      <c r="D35" s="700"/>
      <c r="E35" s="700"/>
      <c r="F35" s="70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</row>
    <row r="36" spans="1:82" s="31" customFormat="1" ht="48" customHeight="1">
      <c r="A36" s="76" t="s">
        <v>289</v>
      </c>
      <c r="B36" s="77" t="s">
        <v>281</v>
      </c>
      <c r="C36" s="77">
        <v>5</v>
      </c>
      <c r="D36" s="77">
        <f>ROUND(F36/$D$6,2)</f>
        <v>19922.23</v>
      </c>
      <c r="E36" s="77">
        <v>1</v>
      </c>
      <c r="F36" s="79">
        <f>'прил.1+2'!G52</f>
        <v>6813402.436242134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</row>
    <row r="37" spans="1:82" s="31" customFormat="1" ht="56.25">
      <c r="A37" s="87" t="s">
        <v>288</v>
      </c>
      <c r="B37" s="17" t="s">
        <v>281</v>
      </c>
      <c r="C37" s="21">
        <v>4</v>
      </c>
      <c r="D37" s="20">
        <f>ROUND(F37/$D$6,2)</f>
        <v>6016.51</v>
      </c>
      <c r="E37" s="17"/>
      <c r="F37" s="82">
        <f>'прил.1+2'!H52</f>
        <v>2057647.83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</row>
    <row r="38" spans="1:6" ht="13.5" thickBot="1">
      <c r="A38" s="88" t="s">
        <v>313</v>
      </c>
      <c r="B38" s="85"/>
      <c r="C38" s="85"/>
      <c r="D38" s="86">
        <f>ROUND(F38/$D$6,2)</f>
        <v>25938.74</v>
      </c>
      <c r="E38" s="85"/>
      <c r="F38" s="86">
        <f>SUM(F36:F37)</f>
        <v>8871050.266242135</v>
      </c>
    </row>
    <row r="39" spans="1:6" ht="51" customHeight="1" thickBot="1">
      <c r="A39" s="699" t="s">
        <v>424</v>
      </c>
      <c r="B39" s="700"/>
      <c r="C39" s="700"/>
      <c r="D39" s="700"/>
      <c r="E39" s="700"/>
      <c r="F39" s="700"/>
    </row>
    <row r="40" spans="1:6" ht="45">
      <c r="A40" s="76" t="s">
        <v>289</v>
      </c>
      <c r="B40" s="77" t="s">
        <v>281</v>
      </c>
      <c r="C40" s="77">
        <v>5</v>
      </c>
      <c r="D40" s="77">
        <f>ROUND(F40/$D$6,2)</f>
        <v>2118.91</v>
      </c>
      <c r="E40" s="77">
        <v>1</v>
      </c>
      <c r="F40" s="79">
        <f>'прил.1+2'!G58</f>
        <v>724668</v>
      </c>
    </row>
    <row r="41" spans="1:6" ht="44.25" customHeight="1">
      <c r="A41" s="87" t="s">
        <v>289</v>
      </c>
      <c r="B41" s="17" t="s">
        <v>281</v>
      </c>
      <c r="C41" s="21">
        <v>4</v>
      </c>
      <c r="D41" s="20">
        <f>ROUND(F41/$D$6,2)</f>
        <v>639.91</v>
      </c>
      <c r="E41" s="17"/>
      <c r="F41" s="82">
        <f>'прил.1+2'!H58</f>
        <v>218850</v>
      </c>
    </row>
    <row r="42" spans="1:6" ht="22.5">
      <c r="A42" s="80" t="s">
        <v>287</v>
      </c>
      <c r="B42" s="17" t="s">
        <v>281</v>
      </c>
      <c r="C42" s="21">
        <v>9</v>
      </c>
      <c r="D42" s="20">
        <f>ROUND(F42/$D$6,2)</f>
        <v>7.02</v>
      </c>
      <c r="E42" s="17">
        <v>1</v>
      </c>
      <c r="F42" s="82">
        <f>'прил.1+2'!E68</f>
        <v>2400</v>
      </c>
    </row>
    <row r="43" spans="1:7" ht="13.5" thickBot="1">
      <c r="A43" s="88" t="s">
        <v>313</v>
      </c>
      <c r="B43" s="85"/>
      <c r="C43" s="85"/>
      <c r="D43" s="86">
        <f>ROUND(F43/$D$6,2)</f>
        <v>2765.84</v>
      </c>
      <c r="E43" s="85"/>
      <c r="F43" s="86">
        <f>SUM(F40:F42)</f>
        <v>945918</v>
      </c>
      <c r="G43" s="41"/>
    </row>
    <row r="44" spans="1:7" ht="54" customHeight="1" hidden="1" thickBot="1">
      <c r="A44" s="702" t="s">
        <v>198</v>
      </c>
      <c r="B44" s="702"/>
      <c r="C44" s="702"/>
      <c r="D44" s="702"/>
      <c r="E44" s="702"/>
      <c r="F44" s="702"/>
      <c r="G44" s="41"/>
    </row>
    <row r="45" spans="1:7" ht="22.5" hidden="1">
      <c r="A45" s="76" t="s">
        <v>287</v>
      </c>
      <c r="B45" s="77" t="s">
        <v>281</v>
      </c>
      <c r="C45" s="78">
        <v>12</v>
      </c>
      <c r="D45" s="77">
        <f>ROUND(F45/$D$6,2)</f>
        <v>0</v>
      </c>
      <c r="E45" s="77">
        <v>1</v>
      </c>
      <c r="F45" s="79"/>
      <c r="G45" s="40" t="s">
        <v>307</v>
      </c>
    </row>
    <row r="46" spans="1:6" ht="12.75" hidden="1">
      <c r="A46" s="483" t="s">
        <v>313</v>
      </c>
      <c r="B46" s="484"/>
      <c r="C46" s="484"/>
      <c r="D46" s="485">
        <f>ROUND(F46/$D$6,2)</f>
        <v>0</v>
      </c>
      <c r="E46" s="484"/>
      <c r="F46" s="485">
        <f>F45</f>
        <v>0</v>
      </c>
    </row>
    <row r="47" spans="1:6" ht="12.75">
      <c r="A47" s="486"/>
      <c r="B47" s="487"/>
      <c r="C47" s="487"/>
      <c r="D47" s="488"/>
      <c r="E47" s="487"/>
      <c r="F47" s="488"/>
    </row>
    <row r="48" spans="1:7" ht="16.5" thickBot="1">
      <c r="A48" s="692" t="s">
        <v>342</v>
      </c>
      <c r="B48" s="692"/>
      <c r="C48" s="692"/>
      <c r="D48" s="692"/>
      <c r="E48" s="692"/>
      <c r="F48" s="703"/>
      <c r="G48" s="40" t="s">
        <v>307</v>
      </c>
    </row>
    <row r="49" spans="1:6" ht="12.75">
      <c r="A49" s="42" t="s">
        <v>299</v>
      </c>
      <c r="B49" s="77" t="s">
        <v>281</v>
      </c>
      <c r="C49" s="77">
        <v>12</v>
      </c>
      <c r="D49" s="77">
        <f>ROUND(F49/$D$6,2)</f>
        <v>82</v>
      </c>
      <c r="E49" s="77"/>
      <c r="F49" s="79">
        <f>'прил.3'!G6+'прил.3'!G7</f>
        <v>28044</v>
      </c>
    </row>
    <row r="50" spans="1:6" ht="12.75">
      <c r="A50" s="45" t="s">
        <v>222</v>
      </c>
      <c r="B50" s="17" t="s">
        <v>281</v>
      </c>
      <c r="C50" s="17"/>
      <c r="D50" s="17">
        <f aca="true" t="shared" si="0" ref="D50:D74">ROUND(F50/$D$6,2)</f>
        <v>10.23</v>
      </c>
      <c r="E50" s="17"/>
      <c r="F50" s="82">
        <f>'прил.3'!G8</f>
        <v>3500</v>
      </c>
    </row>
    <row r="51" spans="1:6" ht="25.5">
      <c r="A51" s="45" t="s">
        <v>200</v>
      </c>
      <c r="B51" s="17" t="s">
        <v>281</v>
      </c>
      <c r="C51" s="17">
        <v>12</v>
      </c>
      <c r="D51" s="17">
        <f t="shared" si="0"/>
        <v>0</v>
      </c>
      <c r="E51" s="17"/>
      <c r="F51" s="82">
        <f>'прил.3'!G9</f>
        <v>0</v>
      </c>
    </row>
    <row r="52" spans="1:6" ht="12.75">
      <c r="A52" s="45" t="s">
        <v>300</v>
      </c>
      <c r="B52" s="17" t="s">
        <v>281</v>
      </c>
      <c r="C52" s="17">
        <v>12</v>
      </c>
      <c r="D52" s="17">
        <f t="shared" si="0"/>
        <v>15.32</v>
      </c>
      <c r="E52" s="17"/>
      <c r="F52" s="82">
        <f>'прил.3'!G10</f>
        <v>5241</v>
      </c>
    </row>
    <row r="53" spans="1:6" ht="26.25" customHeight="1">
      <c r="A53" s="45" t="s">
        <v>201</v>
      </c>
      <c r="B53" s="17" t="s">
        <v>281</v>
      </c>
      <c r="C53" s="17">
        <v>12</v>
      </c>
      <c r="D53" s="17">
        <f t="shared" si="0"/>
        <v>48.63</v>
      </c>
      <c r="E53" s="17"/>
      <c r="F53" s="82">
        <f>'прил.3'!G11</f>
        <v>16632</v>
      </c>
    </row>
    <row r="54" spans="1:6" ht="25.5">
      <c r="A54" s="45" t="s">
        <v>201</v>
      </c>
      <c r="B54" s="17" t="s">
        <v>281</v>
      </c>
      <c r="C54" s="17"/>
      <c r="D54" s="17">
        <f t="shared" si="0"/>
        <v>0</v>
      </c>
      <c r="E54" s="17"/>
      <c r="F54" s="82">
        <f>'прил.3'!G13</f>
        <v>0</v>
      </c>
    </row>
    <row r="55" spans="1:6" ht="12.75">
      <c r="A55" s="45" t="str">
        <f>'прил.3'!B12</f>
        <v>тревожная кнопка</v>
      </c>
      <c r="B55" s="17" t="s">
        <v>281</v>
      </c>
      <c r="C55" s="17"/>
      <c r="D55" s="17">
        <f t="shared" si="0"/>
        <v>35.09</v>
      </c>
      <c r="E55" s="17"/>
      <c r="F55" s="82">
        <f>'прил.3'!G12</f>
        <v>12001</v>
      </c>
    </row>
    <row r="56" spans="1:6" ht="24" customHeight="1">
      <c r="A56" s="45" t="s">
        <v>223</v>
      </c>
      <c r="B56" s="17" t="s">
        <v>281</v>
      </c>
      <c r="C56" s="17"/>
      <c r="D56" s="17">
        <f t="shared" si="0"/>
        <v>9.01</v>
      </c>
      <c r="E56" s="17"/>
      <c r="F56" s="82">
        <f>'прил.3'!G14</f>
        <v>3082.2</v>
      </c>
    </row>
    <row r="57" spans="1:6" ht="25.5">
      <c r="A57" s="45" t="s">
        <v>430</v>
      </c>
      <c r="B57" s="17" t="s">
        <v>281</v>
      </c>
      <c r="C57" s="17">
        <v>12</v>
      </c>
      <c r="D57" s="17">
        <f t="shared" si="0"/>
        <v>3.13</v>
      </c>
      <c r="E57" s="17"/>
      <c r="F57" s="82">
        <f>'прил.3'!G15+'прил.3'!G16+'прил.3'!G17</f>
        <v>1069.68</v>
      </c>
    </row>
    <row r="58" spans="1:6" ht="12.75">
      <c r="A58" s="45" t="str">
        <f>'прил.3'!B18</f>
        <v>текущий темонт оборудования</v>
      </c>
      <c r="B58" s="17" t="s">
        <v>281</v>
      </c>
      <c r="C58" s="17"/>
      <c r="D58" s="17">
        <f t="shared" si="0"/>
        <v>0</v>
      </c>
      <c r="E58" s="17"/>
      <c r="F58" s="82">
        <f>'прил.3'!G18+'прил.3'!G19</f>
        <v>0</v>
      </c>
    </row>
    <row r="59" spans="1:6" ht="12.75">
      <c r="A59" s="140" t="s">
        <v>360</v>
      </c>
      <c r="B59" s="17" t="s">
        <v>281</v>
      </c>
      <c r="C59" s="17">
        <v>12</v>
      </c>
      <c r="D59" s="17">
        <f t="shared" si="0"/>
        <v>147.55</v>
      </c>
      <c r="E59" s="17"/>
      <c r="F59" s="82">
        <f>'прил.3'!G44</f>
        <v>50463.119999999995</v>
      </c>
    </row>
    <row r="60" spans="1:6" ht="25.5" hidden="1">
      <c r="A60" s="45" t="str">
        <f>'прил.3'!B21</f>
        <v>Тех.обслуживание средств радиомодема</v>
      </c>
      <c r="B60" s="17" t="s">
        <v>281</v>
      </c>
      <c r="C60" s="17">
        <v>12</v>
      </c>
      <c r="D60" s="17">
        <f t="shared" si="0"/>
        <v>38.6</v>
      </c>
      <c r="E60" s="17"/>
      <c r="F60" s="82">
        <f>'прил.3'!G21</f>
        <v>13200</v>
      </c>
    </row>
    <row r="61" spans="1:6" ht="25.5" customHeight="1" hidden="1">
      <c r="A61" s="45" t="str">
        <f>'прил.3'!B22</f>
        <v>ТО узлов регулирования</v>
      </c>
      <c r="B61" s="17" t="s">
        <v>281</v>
      </c>
      <c r="C61" s="17"/>
      <c r="D61" s="17">
        <f t="shared" si="0"/>
        <v>0</v>
      </c>
      <c r="E61" s="17"/>
      <c r="F61" s="82">
        <f>'прил.3'!G22</f>
        <v>0</v>
      </c>
    </row>
    <row r="62" spans="1:6" ht="14.25" customHeight="1" hidden="1">
      <c r="A62" s="45">
        <f>'прил.3'!B23</f>
        <v>0</v>
      </c>
      <c r="B62" s="17" t="s">
        <v>281</v>
      </c>
      <c r="C62" s="17">
        <v>12</v>
      </c>
      <c r="D62" s="17">
        <f t="shared" si="0"/>
        <v>0</v>
      </c>
      <c r="E62" s="17"/>
      <c r="F62" s="82">
        <f>'прил.3'!G23</f>
        <v>0</v>
      </c>
    </row>
    <row r="63" spans="1:6" ht="12.75" hidden="1">
      <c r="A63" s="45" t="str">
        <f>'прил.3'!B24</f>
        <v>ТО теплосчетчиков</v>
      </c>
      <c r="B63" s="17" t="s">
        <v>281</v>
      </c>
      <c r="C63" s="17"/>
      <c r="D63" s="17">
        <f t="shared" si="0"/>
        <v>0</v>
      </c>
      <c r="E63" s="17"/>
      <c r="F63" s="82">
        <f>'прил.3'!G24</f>
        <v>0</v>
      </c>
    </row>
    <row r="64" spans="1:82" s="31" customFormat="1" ht="12.75" hidden="1">
      <c r="A64" s="45">
        <f>'прил.3'!B25</f>
        <v>0</v>
      </c>
      <c r="B64" s="17" t="s">
        <v>281</v>
      </c>
      <c r="C64" s="17"/>
      <c r="D64" s="17">
        <f t="shared" si="0"/>
        <v>56.32</v>
      </c>
      <c r="E64" s="17"/>
      <c r="F64" s="82">
        <f>'прил.3'!G25</f>
        <v>19263.12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</row>
    <row r="65" spans="1:7" ht="18" customHeight="1" hidden="1">
      <c r="A65" s="45" t="str">
        <f>'прил.3'!B26</f>
        <v>т/о лифта </v>
      </c>
      <c r="B65" s="17" t="s">
        <v>281</v>
      </c>
      <c r="C65" s="17"/>
      <c r="D65" s="17">
        <f t="shared" si="0"/>
        <v>0</v>
      </c>
      <c r="E65" s="17"/>
      <c r="F65" s="82">
        <f>'прил.3'!G26</f>
        <v>0</v>
      </c>
      <c r="G65" s="40" t="s">
        <v>307</v>
      </c>
    </row>
    <row r="66" spans="1:6" ht="12.75" customHeight="1" hidden="1">
      <c r="A66" s="45" t="str">
        <f>'прил.3'!B27</f>
        <v>Поверка вентиляционных каналов, огнезащитная обработка, огнетушители, опрессовка системы отопления</v>
      </c>
      <c r="B66" s="17" t="s">
        <v>281</v>
      </c>
      <c r="C66" s="17"/>
      <c r="D66" s="17">
        <f t="shared" si="0"/>
        <v>0</v>
      </c>
      <c r="E66" s="17"/>
      <c r="F66" s="82">
        <f>'прил.3'!G27</f>
        <v>0</v>
      </c>
    </row>
    <row r="67" spans="1:6" ht="12.75" customHeight="1" hidden="1">
      <c r="A67" s="45">
        <f>'прил.3'!B28</f>
        <v>0</v>
      </c>
      <c r="B67" s="17" t="s">
        <v>281</v>
      </c>
      <c r="C67" s="17"/>
      <c r="D67" s="17">
        <f t="shared" si="0"/>
        <v>0</v>
      </c>
      <c r="E67" s="17"/>
      <c r="F67" s="82">
        <f>'прил.3'!G28</f>
        <v>0</v>
      </c>
    </row>
    <row r="68" spans="1:6" ht="12.75" customHeight="1" hidden="1">
      <c r="A68" s="45">
        <f>'прил.3'!B29</f>
        <v>0</v>
      </c>
      <c r="B68" s="17" t="s">
        <v>281</v>
      </c>
      <c r="C68" s="17"/>
      <c r="D68" s="17">
        <f t="shared" si="0"/>
        <v>0</v>
      </c>
      <c r="E68" s="17"/>
      <c r="F68" s="82">
        <f>'прил.3'!G29</f>
        <v>0</v>
      </c>
    </row>
    <row r="69" spans="1:6" ht="12.75" customHeight="1" hidden="1">
      <c r="A69" s="45">
        <f>'прил.3'!B30</f>
        <v>0</v>
      </c>
      <c r="B69" s="17" t="s">
        <v>281</v>
      </c>
      <c r="C69" s="17"/>
      <c r="D69" s="17">
        <f t="shared" si="0"/>
        <v>0</v>
      </c>
      <c r="E69" s="17"/>
      <c r="F69" s="82">
        <f>'прил.3'!G30</f>
        <v>0</v>
      </c>
    </row>
    <row r="70" spans="1:6" ht="12.75" customHeight="1" hidden="1">
      <c r="A70" s="45">
        <f>'прил.3'!B31</f>
        <v>0</v>
      </c>
      <c r="B70" s="17" t="s">
        <v>281</v>
      </c>
      <c r="C70" s="17"/>
      <c r="D70" s="17">
        <f t="shared" si="0"/>
        <v>52.63</v>
      </c>
      <c r="E70" s="17"/>
      <c r="F70" s="82">
        <f>'прил.3'!G31</f>
        <v>18000</v>
      </c>
    </row>
    <row r="71" spans="1:6" ht="12.75" customHeight="1" hidden="1">
      <c r="A71" s="45">
        <f>'прил.3'!B32</f>
        <v>0</v>
      </c>
      <c r="B71" s="17" t="s">
        <v>281</v>
      </c>
      <c r="C71" s="17">
        <v>13</v>
      </c>
      <c r="D71" s="17">
        <f t="shared" si="0"/>
        <v>0</v>
      </c>
      <c r="E71" s="17"/>
      <c r="F71" s="82">
        <f>'прил.3'!G32</f>
        <v>0</v>
      </c>
    </row>
    <row r="72" spans="1:6" ht="12.75" customHeight="1" hidden="1">
      <c r="A72" s="45">
        <f>'прил.3'!B39</f>
        <v>0</v>
      </c>
      <c r="B72" s="17" t="s">
        <v>281</v>
      </c>
      <c r="C72" s="21"/>
      <c r="D72" s="17">
        <f t="shared" si="0"/>
        <v>0</v>
      </c>
      <c r="E72" s="21"/>
      <c r="F72" s="82">
        <f>'прил.3'!G39</f>
        <v>0</v>
      </c>
    </row>
    <row r="73" spans="1:6" ht="12.75" customHeight="1" hidden="1">
      <c r="A73" s="45">
        <f>'прил.3'!B40</f>
        <v>0</v>
      </c>
      <c r="B73" s="17" t="s">
        <v>281</v>
      </c>
      <c r="C73" s="21"/>
      <c r="D73" s="17">
        <f t="shared" si="0"/>
        <v>0</v>
      </c>
      <c r="E73" s="21"/>
      <c r="F73" s="82">
        <f>'прил.3'!G40</f>
        <v>0</v>
      </c>
    </row>
    <row r="74" spans="1:6" ht="12.75" customHeight="1" hidden="1">
      <c r="A74" s="277">
        <f>'прил.3'!B42</f>
        <v>0</v>
      </c>
      <c r="B74" s="17" t="s">
        <v>281</v>
      </c>
      <c r="C74" s="21"/>
      <c r="D74" s="17">
        <f t="shared" si="0"/>
        <v>0</v>
      </c>
      <c r="E74" s="21"/>
      <c r="F74" s="82">
        <f>'прил.3'!G42</f>
        <v>0</v>
      </c>
    </row>
    <row r="75" spans="1:6" ht="12.75" customHeight="1" thickBot="1">
      <c r="A75" s="90" t="s">
        <v>313</v>
      </c>
      <c r="B75" s="91"/>
      <c r="C75" s="91"/>
      <c r="D75" s="86">
        <f>ROUND(F75/$D$6,2)</f>
        <v>350.97</v>
      </c>
      <c r="E75" s="85"/>
      <c r="F75" s="86">
        <f>SUM(F49:F59)</f>
        <v>120032.99999999999</v>
      </c>
    </row>
    <row r="76" spans="1:6" ht="20.25" customHeight="1" thickBot="1">
      <c r="A76" s="692" t="s">
        <v>341</v>
      </c>
      <c r="B76" s="692"/>
      <c r="C76" s="692"/>
      <c r="D76" s="692"/>
      <c r="E76" s="692"/>
      <c r="F76" s="692"/>
    </row>
    <row r="77" spans="1:6" ht="12.75" customHeight="1">
      <c r="A77" s="92" t="s">
        <v>305</v>
      </c>
      <c r="B77" s="77" t="s">
        <v>281</v>
      </c>
      <c r="C77" s="77">
        <v>12</v>
      </c>
      <c r="D77" s="77">
        <f>ROUND(F77/$D$6,2)</f>
        <v>56.87</v>
      </c>
      <c r="E77" s="77"/>
      <c r="F77" s="93">
        <f>'прил.3'!G66</f>
        <v>19449</v>
      </c>
    </row>
    <row r="78" spans="1:6" ht="12.75" customHeight="1" hidden="1">
      <c r="A78" s="89" t="s">
        <v>264</v>
      </c>
      <c r="B78" s="16"/>
      <c r="C78" s="16"/>
      <c r="D78" s="16"/>
      <c r="E78" s="16"/>
      <c r="F78" s="94"/>
    </row>
    <row r="79" spans="1:6" ht="12.75" customHeight="1" hidden="1">
      <c r="A79" s="89" t="s">
        <v>265</v>
      </c>
      <c r="B79" s="16"/>
      <c r="C79" s="16"/>
      <c r="D79" s="16"/>
      <c r="E79" s="16"/>
      <c r="F79" s="94"/>
    </row>
    <row r="80" spans="1:6" ht="12.75" customHeight="1" hidden="1">
      <c r="A80" s="89" t="s">
        <v>266</v>
      </c>
      <c r="B80" s="16"/>
      <c r="C80" s="16"/>
      <c r="D80" s="16"/>
      <c r="E80" s="16"/>
      <c r="F80" s="94"/>
    </row>
    <row r="81" spans="1:6" ht="12.75" customHeight="1" hidden="1">
      <c r="A81" s="89" t="s">
        <v>267</v>
      </c>
      <c r="B81" s="16"/>
      <c r="C81" s="16"/>
      <c r="D81" s="16"/>
      <c r="E81" s="16"/>
      <c r="F81" s="94"/>
    </row>
    <row r="82" spans="1:6" ht="12.75" customHeight="1" hidden="1">
      <c r="A82" s="89" t="s">
        <v>268</v>
      </c>
      <c r="B82" s="16"/>
      <c r="C82" s="16"/>
      <c r="D82" s="16"/>
      <c r="E82" s="16"/>
      <c r="F82" s="94"/>
    </row>
    <row r="83" spans="1:6" ht="12.75" customHeight="1" hidden="1">
      <c r="A83" s="689" t="s">
        <v>269</v>
      </c>
      <c r="B83" s="690"/>
      <c r="C83" s="690"/>
      <c r="D83" s="690"/>
      <c r="E83" s="690"/>
      <c r="F83" s="691"/>
    </row>
    <row r="84" spans="1:6" ht="12.75" customHeight="1" hidden="1">
      <c r="A84" s="89" t="s">
        <v>270</v>
      </c>
      <c r="B84" s="16"/>
      <c r="C84" s="16"/>
      <c r="D84" s="16"/>
      <c r="E84" s="16"/>
      <c r="F84" s="94"/>
    </row>
    <row r="85" spans="1:6" ht="12.75" customHeight="1" hidden="1">
      <c r="A85" s="89" t="s">
        <v>271</v>
      </c>
      <c r="B85" s="16"/>
      <c r="C85" s="16"/>
      <c r="D85" s="16"/>
      <c r="E85" s="16"/>
      <c r="F85" s="94"/>
    </row>
    <row r="86" spans="1:6" ht="12.75" customHeight="1" hidden="1">
      <c r="A86" s="89" t="s">
        <v>272</v>
      </c>
      <c r="B86" s="16"/>
      <c r="C86" s="16"/>
      <c r="D86" s="16"/>
      <c r="E86" s="16"/>
      <c r="F86" s="94"/>
    </row>
    <row r="87" spans="1:6" ht="12.75" customHeight="1" hidden="1">
      <c r="A87" s="89" t="s">
        <v>273</v>
      </c>
      <c r="B87" s="16"/>
      <c r="C87" s="16"/>
      <c r="D87" s="16"/>
      <c r="E87" s="16"/>
      <c r="F87" s="94"/>
    </row>
    <row r="88" spans="1:6" ht="12.75" customHeight="1" hidden="1">
      <c r="A88" s="89" t="s">
        <v>274</v>
      </c>
      <c r="B88" s="16"/>
      <c r="C88" s="16"/>
      <c r="D88" s="16"/>
      <c r="E88" s="16"/>
      <c r="F88" s="94"/>
    </row>
    <row r="89" spans="1:6" ht="12.75" customHeight="1" hidden="1">
      <c r="A89" s="89" t="s">
        <v>275</v>
      </c>
      <c r="B89" s="16"/>
      <c r="C89" s="16"/>
      <c r="D89" s="16"/>
      <c r="E89" s="16"/>
      <c r="F89" s="94"/>
    </row>
    <row r="90" spans="1:6" ht="12.75" customHeight="1" hidden="1">
      <c r="A90" s="689" t="s">
        <v>276</v>
      </c>
      <c r="B90" s="690"/>
      <c r="C90" s="690"/>
      <c r="D90" s="690"/>
      <c r="E90" s="690"/>
      <c r="F90" s="691"/>
    </row>
    <row r="91" spans="1:6" ht="12.75" customHeight="1" hidden="1">
      <c r="A91" s="89">
        <f>'прил.3'!B28</f>
        <v>0</v>
      </c>
      <c r="B91" s="16"/>
      <c r="C91" s="16"/>
      <c r="D91" s="16"/>
      <c r="E91" s="16"/>
      <c r="F91" s="94"/>
    </row>
    <row r="92" spans="1:82" s="31" customFormat="1" ht="12.75" customHeight="1" hidden="1">
      <c r="A92" s="89">
        <f>'прил.3'!B29</f>
        <v>0</v>
      </c>
      <c r="B92" s="16"/>
      <c r="C92" s="16"/>
      <c r="D92" s="16"/>
      <c r="E92" s="16"/>
      <c r="F92" s="94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</row>
    <row r="93" spans="1:6" ht="12.75" customHeight="1" hidden="1">
      <c r="A93" s="89">
        <f>'прил.3'!B30</f>
        <v>0</v>
      </c>
      <c r="B93" s="16"/>
      <c r="C93" s="16"/>
      <c r="D93" s="16"/>
      <c r="E93" s="16"/>
      <c r="F93" s="94"/>
    </row>
    <row r="94" spans="1:6" ht="12.75" customHeight="1" hidden="1">
      <c r="A94" s="89" t="s">
        <v>277</v>
      </c>
      <c r="B94" s="16"/>
      <c r="C94" s="16"/>
      <c r="D94" s="16"/>
      <c r="E94" s="16"/>
      <c r="F94" s="94"/>
    </row>
    <row r="95" spans="1:6" ht="12.75" customHeight="1" hidden="1">
      <c r="A95" s="89" t="s">
        <v>278</v>
      </c>
      <c r="B95" s="16"/>
      <c r="C95" s="16"/>
      <c r="D95" s="16"/>
      <c r="E95" s="16"/>
      <c r="F95" s="94"/>
    </row>
    <row r="96" spans="1:82" s="390" customFormat="1" ht="12.75" customHeight="1" hidden="1">
      <c r="A96" s="89">
        <f>'прил.3'!B31</f>
        <v>0</v>
      </c>
      <c r="B96" s="16"/>
      <c r="C96" s="16"/>
      <c r="D96" s="16"/>
      <c r="E96" s="16"/>
      <c r="F96" s="425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89"/>
      <c r="AS96" s="389"/>
      <c r="AT96" s="389"/>
      <c r="AU96" s="389"/>
      <c r="AV96" s="389"/>
      <c r="AW96" s="389"/>
      <c r="AX96" s="389"/>
      <c r="AY96" s="389"/>
      <c r="AZ96" s="389"/>
      <c r="BA96" s="389"/>
      <c r="BB96" s="389"/>
      <c r="BC96" s="389"/>
      <c r="BD96" s="389"/>
      <c r="BE96" s="389"/>
      <c r="BF96" s="389"/>
      <c r="BG96" s="389"/>
      <c r="BH96" s="389"/>
      <c r="BI96" s="389"/>
      <c r="BJ96" s="389"/>
      <c r="BK96" s="389"/>
      <c r="BL96" s="389"/>
      <c r="BM96" s="389"/>
      <c r="BN96" s="389"/>
      <c r="BO96" s="389"/>
      <c r="BP96" s="389"/>
      <c r="BQ96" s="389"/>
      <c r="BR96" s="389"/>
      <c r="BS96" s="389"/>
      <c r="BT96" s="389"/>
      <c r="BU96" s="389"/>
      <c r="BV96" s="389"/>
      <c r="BW96" s="389"/>
      <c r="BX96" s="389"/>
      <c r="BY96" s="389"/>
      <c r="BZ96" s="389"/>
      <c r="CA96" s="389"/>
      <c r="CB96" s="389"/>
      <c r="CC96" s="389"/>
      <c r="CD96" s="389"/>
    </row>
    <row r="97" spans="1:6" ht="12.75" customHeight="1" hidden="1">
      <c r="A97" s="89">
        <f>'прил.3'!B32</f>
        <v>0</v>
      </c>
      <c r="B97" s="16"/>
      <c r="C97" s="16"/>
      <c r="D97" s="16"/>
      <c r="E97" s="16"/>
      <c r="F97" s="94"/>
    </row>
    <row r="98" spans="1:6" ht="12.75" customHeight="1" hidden="1">
      <c r="A98" s="89">
        <f>'прил.3'!B39</f>
        <v>0</v>
      </c>
      <c r="B98" s="16"/>
      <c r="C98" s="16"/>
      <c r="D98" s="16"/>
      <c r="E98" s="16"/>
      <c r="F98" s="94"/>
    </row>
    <row r="99" spans="1:6" ht="12.75" customHeight="1" hidden="1">
      <c r="A99" s="89">
        <f>'прил.3'!B40</f>
        <v>0</v>
      </c>
      <c r="B99" s="16"/>
      <c r="C99" s="16"/>
      <c r="D99" s="16"/>
      <c r="E99" s="16"/>
      <c r="F99" s="94"/>
    </row>
    <row r="100" spans="1:6" ht="12.75" customHeight="1" hidden="1">
      <c r="A100" s="89">
        <f>'прил.3'!B42</f>
        <v>0</v>
      </c>
      <c r="B100" s="16"/>
      <c r="C100" s="16"/>
      <c r="D100" s="16"/>
      <c r="E100" s="16"/>
      <c r="F100" s="94"/>
    </row>
    <row r="101" spans="1:6" ht="12.75" customHeight="1" hidden="1">
      <c r="A101" s="89" t="s">
        <v>279</v>
      </c>
      <c r="B101" s="16"/>
      <c r="C101" s="16"/>
      <c r="D101" s="16"/>
      <c r="E101" s="16"/>
      <c r="F101" s="94"/>
    </row>
    <row r="102" spans="1:6" ht="12.75" customHeight="1">
      <c r="A102" s="89"/>
      <c r="B102" s="16"/>
      <c r="C102" s="16"/>
      <c r="D102" s="16"/>
      <c r="E102" s="16"/>
      <c r="F102" s="95">
        <f>ROUND(C102*D102,2)</f>
        <v>0</v>
      </c>
    </row>
    <row r="103" spans="1:82" s="37" customFormat="1" ht="13.5" thickBot="1">
      <c r="A103" s="90" t="s">
        <v>313</v>
      </c>
      <c r="B103" s="91"/>
      <c r="C103" s="91"/>
      <c r="D103" s="96">
        <f>ROUND(F103/$D$6,2)</f>
        <v>56.87</v>
      </c>
      <c r="E103" s="91"/>
      <c r="F103" s="96">
        <f>SUM(F77+F102)</f>
        <v>19449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</row>
    <row r="104" spans="1:82" s="35" customFormat="1" ht="21" customHeight="1">
      <c r="A104" s="692" t="s">
        <v>349</v>
      </c>
      <c r="B104" s="692"/>
      <c r="C104" s="692"/>
      <c r="D104" s="692"/>
      <c r="E104" s="692"/>
      <c r="F104" s="692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</row>
    <row r="105" spans="1:82" s="35" customFormat="1" ht="36.75" customHeight="1" hidden="1">
      <c r="A105" s="127"/>
      <c r="B105" s="17"/>
      <c r="C105" s="16"/>
      <c r="D105" s="17"/>
      <c r="E105" s="17"/>
      <c r="F105" s="17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</row>
    <row r="106" spans="1:82" s="35" customFormat="1" ht="15.75" hidden="1">
      <c r="A106" s="127"/>
      <c r="B106" s="17"/>
      <c r="C106" s="16"/>
      <c r="D106" s="386"/>
      <c r="E106" s="128"/>
      <c r="F106" s="17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</row>
    <row r="107" spans="1:82" s="35" customFormat="1" ht="15">
      <c r="A107" s="385" t="s">
        <v>202</v>
      </c>
      <c r="B107" s="386" t="s">
        <v>281</v>
      </c>
      <c r="C107" s="387"/>
      <c r="D107" s="386">
        <f aca="true" t="shared" si="1" ref="D107:D117">ROUND(F107/$D$6,2)</f>
        <v>7.89</v>
      </c>
      <c r="E107" s="386"/>
      <c r="F107" s="388">
        <f>'прил.3'!G101</f>
        <v>2700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</row>
    <row r="108" spans="1:82" s="31" customFormat="1" ht="15.75">
      <c r="A108" s="127" t="s">
        <v>358</v>
      </c>
      <c r="B108" s="17" t="s">
        <v>281</v>
      </c>
      <c r="C108" s="16"/>
      <c r="D108" s="17">
        <f t="shared" si="1"/>
        <v>330.94</v>
      </c>
      <c r="E108" s="128"/>
      <c r="F108" s="25">
        <f>'прил.3'!G94+'прил.3'!G95+'прил.3'!G96+'прил.3'!G97+'прил.3'!G99</f>
        <v>113180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</row>
    <row r="109" spans="1:82" s="35" customFormat="1" ht="12.75">
      <c r="A109" s="89" t="s">
        <v>363</v>
      </c>
      <c r="B109" s="17" t="s">
        <v>281</v>
      </c>
      <c r="C109" s="16"/>
      <c r="D109" s="20">
        <f t="shared" si="1"/>
        <v>72.28</v>
      </c>
      <c r="E109" s="16"/>
      <c r="F109" s="363">
        <f>'прил.3'!G100</f>
        <v>24720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</row>
    <row r="110" spans="1:82" s="35" customFormat="1" ht="12.75">
      <c r="A110" s="138" t="str">
        <f>'прил.3'!B107</f>
        <v>проектиров.узла ХВС</v>
      </c>
      <c r="B110" s="17" t="s">
        <v>281</v>
      </c>
      <c r="C110" s="16"/>
      <c r="D110" s="20">
        <f t="shared" si="1"/>
        <v>0</v>
      </c>
      <c r="E110" s="139"/>
      <c r="F110" s="363">
        <f>'прил.3'!G107</f>
        <v>0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</row>
    <row r="111" spans="1:82" s="35" customFormat="1" ht="12.75">
      <c r="A111" s="138" t="s">
        <v>225</v>
      </c>
      <c r="B111" s="17" t="s">
        <v>281</v>
      </c>
      <c r="C111" s="16"/>
      <c r="D111" s="20">
        <f t="shared" si="1"/>
        <v>146.2</v>
      </c>
      <c r="E111" s="139"/>
      <c r="F111" s="363">
        <f>'прил.3'!G106</f>
        <v>50000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</row>
    <row r="112" spans="1:82" s="35" customFormat="1" ht="12.75">
      <c r="A112" s="138" t="s">
        <v>203</v>
      </c>
      <c r="B112" s="17" t="s">
        <v>281</v>
      </c>
      <c r="C112" s="16"/>
      <c r="D112" s="20">
        <f t="shared" si="1"/>
        <v>9.06</v>
      </c>
      <c r="E112" s="139"/>
      <c r="F112" s="363">
        <f>'прил.3'!G110</f>
        <v>3100</v>
      </c>
      <c r="G112" s="41" t="s">
        <v>307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</row>
    <row r="113" spans="1:82" s="35" customFormat="1" ht="29.25" customHeight="1">
      <c r="A113" s="138" t="str">
        <f>'прил.3'!B105</f>
        <v>утилизация отходов ртутосодержащих ламп</v>
      </c>
      <c r="B113" s="17" t="s">
        <v>281</v>
      </c>
      <c r="C113" s="16"/>
      <c r="D113" s="20">
        <f t="shared" si="1"/>
        <v>2.05</v>
      </c>
      <c r="E113" s="139"/>
      <c r="F113" s="363">
        <f>'прил.3'!G105</f>
        <v>700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</row>
    <row r="114" spans="1:82" s="35" customFormat="1" ht="12.75">
      <c r="A114" s="138" t="str">
        <f>'прил.3'!B109</f>
        <v>оценка качества пропитки</v>
      </c>
      <c r="B114" s="17" t="s">
        <v>281</v>
      </c>
      <c r="C114" s="139"/>
      <c r="D114" s="20">
        <f t="shared" si="1"/>
        <v>0</v>
      </c>
      <c r="E114" s="139"/>
      <c r="F114" s="435">
        <f>'прил.3'!G109</f>
        <v>0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</row>
    <row r="115" spans="1:82" s="35" customFormat="1" ht="12.75">
      <c r="A115" s="138" t="str">
        <f>'прил.3'!B108</f>
        <v>обслуж вычислит.техники</v>
      </c>
      <c r="B115" s="17" t="s">
        <v>281</v>
      </c>
      <c r="C115" s="139"/>
      <c r="D115" s="20">
        <f t="shared" si="1"/>
        <v>0</v>
      </c>
      <c r="E115" s="139"/>
      <c r="F115" s="435">
        <f>'прил.3'!G108</f>
        <v>0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</row>
    <row r="116" spans="1:82" s="35" customFormat="1" ht="22.5">
      <c r="A116" s="129" t="s">
        <v>356</v>
      </c>
      <c r="B116" s="17" t="s">
        <v>281</v>
      </c>
      <c r="C116" s="139"/>
      <c r="D116" s="20">
        <f>ROUND(F116/$D$6,2)</f>
        <v>0</v>
      </c>
      <c r="E116" s="139"/>
      <c r="F116" s="435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</row>
    <row r="117" spans="1:82" s="31" customFormat="1" ht="13.5" thickBot="1">
      <c r="A117" s="97" t="s">
        <v>306</v>
      </c>
      <c r="B117" s="98"/>
      <c r="C117" s="98"/>
      <c r="D117" s="99">
        <f t="shared" si="1"/>
        <v>568.42</v>
      </c>
      <c r="E117" s="98"/>
      <c r="F117" s="436">
        <f>SUM(F107:F116)</f>
        <v>194400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</row>
    <row r="118" spans="1:82" s="35" customFormat="1" ht="33" customHeight="1" hidden="1">
      <c r="A118" s="696" t="s">
        <v>314</v>
      </c>
      <c r="B118" s="697"/>
      <c r="C118" s="697"/>
      <c r="D118" s="697"/>
      <c r="E118" s="697"/>
      <c r="F118" s="697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</row>
    <row r="119" spans="1:82" s="35" customFormat="1" ht="16.5" thickBot="1">
      <c r="A119" s="693" t="s">
        <v>348</v>
      </c>
      <c r="B119" s="693"/>
      <c r="C119" s="693"/>
      <c r="D119" s="693"/>
      <c r="E119" s="693"/>
      <c r="F119" s="694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</row>
    <row r="120" spans="1:82" s="31" customFormat="1" ht="12.75">
      <c r="A120" s="100" t="s">
        <v>315</v>
      </c>
      <c r="B120" s="77" t="s">
        <v>281</v>
      </c>
      <c r="C120" s="101">
        <v>12</v>
      </c>
      <c r="D120" s="77">
        <f>ROUND(F120/D6,2)</f>
        <v>0</v>
      </c>
      <c r="E120" s="102"/>
      <c r="F120" s="79">
        <f>'прил.4'!F6</f>
        <v>0</v>
      </c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</row>
    <row r="121" spans="1:82" s="35" customFormat="1" ht="12.75">
      <c r="A121" s="58" t="s">
        <v>316</v>
      </c>
      <c r="B121" s="17" t="s">
        <v>281</v>
      </c>
      <c r="C121" s="36">
        <v>12</v>
      </c>
      <c r="D121" s="20">
        <f>ROUND(F121/D6,2)</f>
        <v>0</v>
      </c>
      <c r="E121" s="34"/>
      <c r="F121" s="82">
        <f>'прил.4'!F7</f>
        <v>0</v>
      </c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</row>
    <row r="122" spans="1:82" s="35" customFormat="1" ht="13.5" thickBot="1">
      <c r="A122" s="90" t="s">
        <v>306</v>
      </c>
      <c r="B122" s="91"/>
      <c r="C122" s="91"/>
      <c r="D122" s="86">
        <f>D120+D121</f>
        <v>0</v>
      </c>
      <c r="E122" s="91"/>
      <c r="F122" s="86">
        <f>F120+F121</f>
        <v>0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</row>
    <row r="123" spans="1:82" s="35" customFormat="1" ht="16.5" thickBot="1">
      <c r="A123" s="669" t="s">
        <v>340</v>
      </c>
      <c r="B123" s="669"/>
      <c r="C123" s="669"/>
      <c r="D123" s="669"/>
      <c r="E123" s="669"/>
      <c r="F123" s="695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</row>
    <row r="124" spans="1:82" s="31" customFormat="1" ht="13.5" thickBot="1">
      <c r="A124" s="145" t="s">
        <v>227</v>
      </c>
      <c r="B124" s="77" t="s">
        <v>281</v>
      </c>
      <c r="C124" s="101">
        <v>12</v>
      </c>
      <c r="D124" s="77">
        <f>ROUND(F124/D6,2)</f>
        <v>297.84</v>
      </c>
      <c r="E124" s="102"/>
      <c r="F124" s="103">
        <f>'прил.3'!E74</f>
        <v>101860</v>
      </c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</row>
    <row r="125" spans="1:82" s="35" customFormat="1" ht="13.5" thickBot="1">
      <c r="A125" s="145" t="s">
        <v>228</v>
      </c>
      <c r="B125" s="17" t="s">
        <v>281</v>
      </c>
      <c r="C125" s="36">
        <v>12</v>
      </c>
      <c r="D125" s="20">
        <f>ROUND(F125/D6,2)</f>
        <v>161.86</v>
      </c>
      <c r="E125" s="34"/>
      <c r="F125" s="103">
        <f>'прил.3'!E75</f>
        <v>55355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</row>
    <row r="126" spans="1:82" s="35" customFormat="1" ht="15.75" thickBot="1">
      <c r="A126" s="125" t="s">
        <v>229</v>
      </c>
      <c r="B126" s="17" t="s">
        <v>281</v>
      </c>
      <c r="C126" s="36"/>
      <c r="D126" s="20">
        <f>ROUND(F126/D6,2)</f>
        <v>43.85</v>
      </c>
      <c r="E126" s="34"/>
      <c r="F126" s="103">
        <f>'прил.3'!E76</f>
        <v>14995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</row>
    <row r="127" spans="1:82" s="35" customFormat="1" ht="15.75" thickBot="1">
      <c r="A127" s="125" t="s">
        <v>230</v>
      </c>
      <c r="B127" s="17" t="s">
        <v>281</v>
      </c>
      <c r="C127" s="36"/>
      <c r="D127" s="20">
        <f>ROUND(F127/D6,2)</f>
        <v>214.94</v>
      </c>
      <c r="E127" s="34"/>
      <c r="F127" s="103">
        <f>'прил.3'!E77</f>
        <v>73510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</row>
    <row r="128" spans="1:82" s="35" customFormat="1" ht="15">
      <c r="A128" s="125" t="s">
        <v>231</v>
      </c>
      <c r="B128" s="17" t="s">
        <v>281</v>
      </c>
      <c r="C128" s="34"/>
      <c r="D128" s="20">
        <f>ROUND(F128/D6,2)</f>
        <v>131.52</v>
      </c>
      <c r="E128" s="34"/>
      <c r="F128" s="103">
        <f>'прил.3'!E78</f>
        <v>44980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</row>
    <row r="129" spans="1:82" s="35" customFormat="1" ht="12.75">
      <c r="A129" s="58"/>
      <c r="B129" s="17" t="s">
        <v>281</v>
      </c>
      <c r="C129" s="34"/>
      <c r="D129" s="36"/>
      <c r="E129" s="34"/>
      <c r="F129" s="104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</row>
    <row r="130" spans="1:82" s="35" customFormat="1" ht="13.5" thickBot="1">
      <c r="A130" s="90" t="s">
        <v>306</v>
      </c>
      <c r="B130" s="91"/>
      <c r="C130" s="91"/>
      <c r="D130" s="86">
        <f>D124+D125+D128+D129</f>
        <v>591.22</v>
      </c>
      <c r="E130" s="91"/>
      <c r="F130" s="86">
        <f>F124+F125+F126+F127+F128+F129</f>
        <v>290700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</row>
    <row r="131" spans="1:82" s="35" customFormat="1" ht="16.5" thickBot="1">
      <c r="A131" s="665" t="s">
        <v>345</v>
      </c>
      <c r="B131" s="665"/>
      <c r="C131" s="665"/>
      <c r="D131" s="665"/>
      <c r="E131" s="665"/>
      <c r="F131" s="701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</row>
    <row r="132" spans="1:82" s="35" customFormat="1" ht="12.75">
      <c r="A132" s="100" t="s">
        <v>317</v>
      </c>
      <c r="B132" s="77" t="s">
        <v>281</v>
      </c>
      <c r="C132" s="102"/>
      <c r="D132" s="77">
        <f>ROUND(F132/D6,2)</f>
        <v>0</v>
      </c>
      <c r="E132" s="102"/>
      <c r="F132" s="103">
        <f>'прил.4'!F38</f>
        <v>0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</row>
    <row r="133" spans="1:82" s="35" customFormat="1" ht="13.5" thickBot="1">
      <c r="A133" s="90" t="s">
        <v>306</v>
      </c>
      <c r="B133" s="91"/>
      <c r="C133" s="91"/>
      <c r="D133" s="86">
        <f>D132</f>
        <v>0</v>
      </c>
      <c r="E133" s="91"/>
      <c r="F133" s="86">
        <f>F132</f>
        <v>0</v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</row>
    <row r="134" spans="1:82" s="35" customFormat="1" ht="16.5" thickBot="1">
      <c r="A134" s="669" t="s">
        <v>346</v>
      </c>
      <c r="B134" s="669"/>
      <c r="C134" s="669"/>
      <c r="D134" s="669"/>
      <c r="E134" s="669"/>
      <c r="F134" s="695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</row>
    <row r="135" spans="1:82" s="29" customFormat="1" ht="12.75">
      <c r="A135" s="100"/>
      <c r="B135" s="77" t="s">
        <v>281</v>
      </c>
      <c r="C135" s="102"/>
      <c r="D135" s="77">
        <f>ROUND(F135/D6,2)</f>
        <v>0</v>
      </c>
      <c r="E135" s="102"/>
      <c r="F135" s="103">
        <f>'прил.4'!F45</f>
        <v>0</v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</row>
    <row r="136" spans="1:6" ht="13.5" thickBot="1">
      <c r="A136" s="107"/>
      <c r="B136" s="108" t="s">
        <v>281</v>
      </c>
      <c r="C136" s="109"/>
      <c r="D136" s="110">
        <f>ROUND(F136/D6,2)</f>
        <v>0</v>
      </c>
      <c r="E136" s="109"/>
      <c r="F136" s="111">
        <f>'прил.4'!F46</f>
        <v>0</v>
      </c>
    </row>
    <row r="137" spans="1:6" ht="12.75">
      <c r="A137" s="105" t="s">
        <v>306</v>
      </c>
      <c r="B137" s="105"/>
      <c r="C137" s="105"/>
      <c r="D137" s="106">
        <f>D135+D136</f>
        <v>0</v>
      </c>
      <c r="E137" s="105"/>
      <c r="F137" s="106">
        <f>F135+F136</f>
        <v>0</v>
      </c>
    </row>
    <row r="138" spans="1:6" ht="16.5" thickBot="1">
      <c r="A138" s="688" t="s">
        <v>343</v>
      </c>
      <c r="B138" s="688"/>
      <c r="C138" s="688"/>
      <c r="D138" s="688"/>
      <c r="E138" s="688"/>
      <c r="F138" s="688"/>
    </row>
    <row r="139" spans="1:6" ht="12.75">
      <c r="A139" s="42" t="s">
        <v>293</v>
      </c>
      <c r="B139" s="77" t="s">
        <v>281</v>
      </c>
      <c r="C139" s="77">
        <v>12</v>
      </c>
      <c r="D139" s="112">
        <f aca="true" t="shared" si="2" ref="D139:D147">ROUND(F139/$D$6,2)</f>
        <v>109.72</v>
      </c>
      <c r="E139" s="77"/>
      <c r="F139" s="79">
        <f>'прил.5'!G7+'прил.5'!G8</f>
        <v>37523.16</v>
      </c>
    </row>
    <row r="140" spans="1:6" ht="12.75">
      <c r="A140" s="45" t="s">
        <v>292</v>
      </c>
      <c r="B140" s="17" t="s">
        <v>281</v>
      </c>
      <c r="C140" s="17">
        <v>12</v>
      </c>
      <c r="D140" s="25">
        <f t="shared" si="2"/>
        <v>105.67</v>
      </c>
      <c r="E140" s="17"/>
      <c r="F140" s="82">
        <f>'прил.5'!G13+'прил.5'!G14+'прил.5'!G15+'прил.5'!G16+'прил.5'!G17+'прил.5'!G18</f>
        <v>36140.11</v>
      </c>
    </row>
    <row r="141" spans="1:6" ht="12.75">
      <c r="A141" s="55" t="s">
        <v>245</v>
      </c>
      <c r="B141" s="17" t="s">
        <v>281</v>
      </c>
      <c r="C141" s="17">
        <v>12</v>
      </c>
      <c r="D141" s="25">
        <f t="shared" si="2"/>
        <v>324.15</v>
      </c>
      <c r="E141" s="17"/>
      <c r="F141" s="82">
        <f>'прил.5'!G19+'прил.5'!G21+'прил.5'!G22+'прил.5'!G20</f>
        <v>110858.54999999999</v>
      </c>
    </row>
    <row r="142" spans="1:6" ht="12.75">
      <c r="A142" s="55" t="s">
        <v>245</v>
      </c>
      <c r="B142" s="17" t="s">
        <v>281</v>
      </c>
      <c r="C142" s="17">
        <v>12</v>
      </c>
      <c r="D142" s="25">
        <f t="shared" si="2"/>
        <v>1925.59</v>
      </c>
      <c r="E142" s="17"/>
      <c r="F142" s="82">
        <f>'прил.5'!G23+'прил.5'!G28+'прил.5'!G24+'прил.5'!G25+'прил.5'!G26+'прил.5'!G27</f>
        <v>658553.21</v>
      </c>
    </row>
    <row r="143" spans="1:6" ht="12.75" hidden="1">
      <c r="A143" s="55" t="s">
        <v>246</v>
      </c>
      <c r="B143" s="17" t="s">
        <v>281</v>
      </c>
      <c r="C143" s="17">
        <v>12</v>
      </c>
      <c r="D143" s="25">
        <f t="shared" si="2"/>
        <v>445.89</v>
      </c>
      <c r="E143" s="17"/>
      <c r="F143" s="82">
        <f>'прил.5'!G29</f>
        <v>152494.97</v>
      </c>
    </row>
    <row r="144" spans="1:6" ht="12.75">
      <c r="A144" s="45" t="s">
        <v>423</v>
      </c>
      <c r="B144" s="17" t="s">
        <v>281</v>
      </c>
      <c r="C144" s="17">
        <v>12</v>
      </c>
      <c r="D144" s="25">
        <f t="shared" si="2"/>
        <v>0</v>
      </c>
      <c r="E144" s="17"/>
      <c r="F144" s="82">
        <f>'прил.5'!G30</f>
        <v>0</v>
      </c>
    </row>
    <row r="145" spans="1:6" ht="25.5">
      <c r="A145" s="277" t="str">
        <f>'прил.5'!B31</f>
        <v>вывоз жидких бытовых отходов и объемов жидких бытовых отходов</v>
      </c>
      <c r="B145" s="17" t="s">
        <v>281</v>
      </c>
      <c r="C145" s="21"/>
      <c r="D145" s="25">
        <f t="shared" si="2"/>
        <v>0</v>
      </c>
      <c r="E145" s="21"/>
      <c r="F145" s="356">
        <f>'прил.5'!G31</f>
        <v>0</v>
      </c>
    </row>
    <row r="146" spans="1:82" s="30" customFormat="1" ht="13.5" thickBot="1">
      <c r="A146" s="113" t="s">
        <v>306</v>
      </c>
      <c r="B146" s="114"/>
      <c r="C146" s="114"/>
      <c r="D146" s="116">
        <f t="shared" si="2"/>
        <v>2911.02</v>
      </c>
      <c r="E146" s="115"/>
      <c r="F146" s="116">
        <f>SUM(F139:F145)</f>
        <v>995570</v>
      </c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</row>
    <row r="147" spans="1:8" ht="26.25" thickBot="1">
      <c r="A147" s="475" t="s">
        <v>328</v>
      </c>
      <c r="B147" s="476"/>
      <c r="C147" s="476"/>
      <c r="D147" s="477">
        <f t="shared" si="2"/>
        <v>33441.87</v>
      </c>
      <c r="E147" s="476"/>
      <c r="F147" s="478">
        <f>F146+F137+F133+F130+F122+F117+F103+F75+F34</f>
        <v>11437120.266242135</v>
      </c>
      <c r="G147" s="133" t="s">
        <v>426</v>
      </c>
      <c r="H147" s="133"/>
    </row>
    <row r="148" spans="1:6" ht="19.5" thickBot="1">
      <c r="A148" s="687" t="s">
        <v>344</v>
      </c>
      <c r="B148" s="687"/>
      <c r="C148" s="687"/>
      <c r="D148" s="687"/>
      <c r="E148" s="687"/>
      <c r="F148" s="687"/>
    </row>
    <row r="149" spans="1:6" ht="12.75">
      <c r="A149" s="92" t="s">
        <v>280</v>
      </c>
      <c r="B149" s="77" t="s">
        <v>281</v>
      </c>
      <c r="C149" s="117">
        <v>0.022</v>
      </c>
      <c r="D149" s="112">
        <f aca="true" t="shared" si="3" ref="D149:D157">ROUND(F149/$D$6,2)</f>
        <v>353.87</v>
      </c>
      <c r="E149" s="77"/>
      <c r="F149" s="411">
        <f>'прил.6'!E7+'прил.6'!E8+'прил.6'!E6</f>
        <v>121024</v>
      </c>
    </row>
    <row r="150" spans="1:7" ht="12.75">
      <c r="A150" s="89" t="s">
        <v>282</v>
      </c>
      <c r="B150" s="17" t="s">
        <v>281</v>
      </c>
      <c r="C150" s="19">
        <v>0.015</v>
      </c>
      <c r="D150" s="25">
        <f t="shared" si="3"/>
        <v>343.63</v>
      </c>
      <c r="E150" s="17"/>
      <c r="F150" s="410">
        <f>'прил.6'!E9+'прил.6'!E10</f>
        <v>117523</v>
      </c>
      <c r="G150" s="15"/>
    </row>
    <row r="151" spans="1:7" ht="12.75">
      <c r="A151" s="118" t="s">
        <v>308</v>
      </c>
      <c r="B151" s="17" t="s">
        <v>281</v>
      </c>
      <c r="C151" s="19"/>
      <c r="D151" s="25">
        <f t="shared" si="3"/>
        <v>0</v>
      </c>
      <c r="E151" s="17"/>
      <c r="F151" s="82">
        <f>'прил.6'!E11</f>
        <v>0</v>
      </c>
      <c r="G151" s="15"/>
    </row>
    <row r="152" spans="1:7" ht="12.75">
      <c r="A152" s="89" t="s">
        <v>309</v>
      </c>
      <c r="B152" s="17" t="s">
        <v>281</v>
      </c>
      <c r="C152" s="19"/>
      <c r="D152" s="25">
        <f t="shared" si="3"/>
        <v>0</v>
      </c>
      <c r="E152" s="17"/>
      <c r="F152" s="82">
        <f>'прил.6'!E12</f>
        <v>0</v>
      </c>
      <c r="G152" s="15"/>
    </row>
    <row r="153" spans="1:7" ht="12.75">
      <c r="A153" s="89" t="s">
        <v>322</v>
      </c>
      <c r="B153" s="17" t="s">
        <v>281</v>
      </c>
      <c r="C153" s="19"/>
      <c r="D153" s="25">
        <f t="shared" si="3"/>
        <v>0</v>
      </c>
      <c r="E153" s="17"/>
      <c r="F153" s="82">
        <f>'прил.6'!E13</f>
        <v>0</v>
      </c>
      <c r="G153" s="15"/>
    </row>
    <row r="154" spans="1:6" ht="12.75">
      <c r="A154" s="89"/>
      <c r="B154" s="17"/>
      <c r="C154" s="19"/>
      <c r="D154" s="25">
        <f t="shared" si="3"/>
        <v>0</v>
      </c>
      <c r="E154" s="17"/>
      <c r="F154" s="82"/>
    </row>
    <row r="155" spans="1:6" ht="12.75">
      <c r="A155" s="89"/>
      <c r="B155" s="17"/>
      <c r="C155" s="19"/>
      <c r="D155" s="25">
        <f t="shared" si="3"/>
        <v>0</v>
      </c>
      <c r="E155" s="17"/>
      <c r="F155" s="82"/>
    </row>
    <row r="156" spans="1:6" ht="12.75">
      <c r="A156" s="89"/>
      <c r="B156" s="17"/>
      <c r="C156" s="19"/>
      <c r="D156" s="25">
        <f t="shared" si="3"/>
        <v>0</v>
      </c>
      <c r="E156" s="17"/>
      <c r="F156" s="82"/>
    </row>
    <row r="157" spans="1:7" ht="13.5" thickBot="1">
      <c r="A157" s="479" t="s">
        <v>306</v>
      </c>
      <c r="B157" s="473"/>
      <c r="C157" s="480"/>
      <c r="D157" s="481">
        <f t="shared" si="3"/>
        <v>697.51</v>
      </c>
      <c r="E157" s="473"/>
      <c r="F157" s="482">
        <f>SUM(F149:F155)</f>
        <v>238547</v>
      </c>
      <c r="G157" s="40" t="s">
        <v>427</v>
      </c>
    </row>
    <row r="158" spans="1:6" ht="19.5" thickBot="1">
      <c r="A158" s="119" t="s">
        <v>327</v>
      </c>
      <c r="B158" s="120"/>
      <c r="C158" s="120"/>
      <c r="D158" s="121">
        <f>ROUND(F158/$D$6,2)</f>
        <v>60664.17</v>
      </c>
      <c r="E158" s="122"/>
      <c r="F158" s="503">
        <f>F14+F147+F157</f>
        <v>20747145.996242136</v>
      </c>
    </row>
    <row r="159" ht="12.75">
      <c r="F159" s="32"/>
    </row>
    <row r="160" ht="12.75">
      <c r="F160" s="23"/>
    </row>
    <row r="161" spans="1:5" ht="12.75">
      <c r="A161" s="123" t="s">
        <v>442</v>
      </c>
      <c r="C161" s="124"/>
      <c r="D161" s="11" t="s">
        <v>220</v>
      </c>
      <c r="E161" s="141"/>
    </row>
    <row r="164" spans="1:5" ht="12.75">
      <c r="A164" t="s">
        <v>447</v>
      </c>
      <c r="D164" s="11" t="s">
        <v>221</v>
      </c>
      <c r="E164" s="141"/>
    </row>
    <row r="165" spans="1:6" ht="12.75">
      <c r="A165" s="137"/>
      <c r="B165" s="137"/>
      <c r="C165" s="137"/>
      <c r="D165" s="137"/>
      <c r="E165" s="137"/>
      <c r="F165" s="137"/>
    </row>
  </sheetData>
  <sheetProtection/>
  <mergeCells count="25">
    <mergeCell ref="A21:F21"/>
    <mergeCell ref="A39:F39"/>
    <mergeCell ref="A7:F7"/>
    <mergeCell ref="A1:F1"/>
    <mergeCell ref="A2:F2"/>
    <mergeCell ref="A3:F3"/>
    <mergeCell ref="A5:F5"/>
    <mergeCell ref="A9:F9"/>
    <mergeCell ref="A15:F15"/>
    <mergeCell ref="A29:F29"/>
    <mergeCell ref="A28:F28"/>
    <mergeCell ref="A123:F123"/>
    <mergeCell ref="A35:F35"/>
    <mergeCell ref="A131:F131"/>
    <mergeCell ref="A76:F76"/>
    <mergeCell ref="A83:F83"/>
    <mergeCell ref="A44:F44"/>
    <mergeCell ref="A48:F48"/>
    <mergeCell ref="A148:F148"/>
    <mergeCell ref="A138:F138"/>
    <mergeCell ref="A90:F90"/>
    <mergeCell ref="A104:F104"/>
    <mergeCell ref="A119:F119"/>
    <mergeCell ref="A134:F134"/>
    <mergeCell ref="A118:F118"/>
  </mergeCells>
  <printOptions/>
  <pageMargins left="0.34" right="0" top="0.1968503937007874" bottom="0" header="0.31496062992125984" footer="0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2.125" style="0" customWidth="1"/>
    <col min="2" max="2" width="15.625" style="0" customWidth="1"/>
    <col min="3" max="3" width="18.125" style="0" customWidth="1"/>
    <col min="4" max="4" width="15.125" style="0" customWidth="1"/>
  </cols>
  <sheetData>
    <row r="2" spans="1:4" ht="18">
      <c r="A2" s="711" t="s">
        <v>324</v>
      </c>
      <c r="B2" s="711"/>
      <c r="C2" s="711"/>
      <c r="D2" s="711"/>
    </row>
    <row r="3" ht="12.75">
      <c r="D3" t="s">
        <v>233</v>
      </c>
    </row>
    <row r="5" spans="1:4" ht="26.25" customHeight="1">
      <c r="A5" s="1" t="s">
        <v>310</v>
      </c>
      <c r="B5" s="1" t="s">
        <v>311</v>
      </c>
      <c r="C5" s="1" t="s">
        <v>237</v>
      </c>
      <c r="D5" s="1" t="s">
        <v>312</v>
      </c>
    </row>
    <row r="6" spans="1:6" s="26" customFormat="1" ht="13.5" customHeight="1">
      <c r="A6" s="27"/>
      <c r="B6" s="28">
        <f>SUM(B7:B20)</f>
        <v>20747146</v>
      </c>
      <c r="C6" s="28">
        <f>'свод '!F158</f>
        <v>20747145.996242136</v>
      </c>
      <c r="D6" s="28">
        <f>SUM(D7:D20)</f>
        <v>0.0037578660994768143</v>
      </c>
      <c r="E6" s="378"/>
      <c r="F6" s="378"/>
    </row>
    <row r="7" spans="1:4" ht="13.5" customHeight="1">
      <c r="A7" s="1">
        <v>211</v>
      </c>
      <c r="B7" s="365">
        <v>13687403</v>
      </c>
      <c r="C7" s="18">
        <f>'свод '!F16+'свод '!F36</f>
        <v>13687402.996242134</v>
      </c>
      <c r="D7" s="18">
        <f aca="true" t="shared" si="0" ref="D7:D20">B7-C7</f>
        <v>0.0037578660994768143</v>
      </c>
    </row>
    <row r="8" spans="1:4" ht="13.5" customHeight="1">
      <c r="A8" s="1">
        <v>213</v>
      </c>
      <c r="B8" s="365">
        <v>4133596</v>
      </c>
      <c r="C8" s="18">
        <f>'свод '!F17+'свод '!F37</f>
        <v>4133596</v>
      </c>
      <c r="D8" s="18">
        <f t="shared" si="0"/>
        <v>0</v>
      </c>
    </row>
    <row r="9" spans="1:4" ht="13.5" customHeight="1">
      <c r="A9" s="1">
        <v>226</v>
      </c>
      <c r="B9" s="365">
        <v>12774</v>
      </c>
      <c r="C9" s="18">
        <f>'свод '!F19</f>
        <v>12774</v>
      </c>
      <c r="D9" s="18">
        <f t="shared" si="0"/>
        <v>0</v>
      </c>
    </row>
    <row r="10" spans="1:4" ht="13.5" customHeight="1">
      <c r="A10" s="1">
        <v>340</v>
      </c>
      <c r="B10" s="365">
        <v>108756</v>
      </c>
      <c r="C10" s="18">
        <f>'свод '!F18</f>
        <v>108756</v>
      </c>
      <c r="D10" s="18">
        <f t="shared" si="0"/>
        <v>0</v>
      </c>
    </row>
    <row r="11" spans="1:4" ht="13.5" customHeight="1">
      <c r="A11" s="1"/>
      <c r="B11" s="135"/>
      <c r="C11" s="18"/>
      <c r="D11" s="18"/>
    </row>
    <row r="12" spans="1:4" ht="13.5" customHeight="1">
      <c r="A12" s="1">
        <v>211</v>
      </c>
      <c r="B12" s="135">
        <v>724668</v>
      </c>
      <c r="C12" s="18">
        <f>'свод '!F22+'свод '!F40</f>
        <v>724668</v>
      </c>
      <c r="D12" s="18">
        <f>B12-C12</f>
        <v>0</v>
      </c>
    </row>
    <row r="13" spans="1:4" ht="13.5" customHeight="1">
      <c r="A13" s="1">
        <v>212</v>
      </c>
      <c r="B13" s="135">
        <v>2400</v>
      </c>
      <c r="C13" s="18">
        <f>'свод '!F33</f>
        <v>2400</v>
      </c>
      <c r="D13" s="18">
        <f>B13-C13</f>
        <v>0</v>
      </c>
    </row>
    <row r="14" spans="1:4" ht="13.5" customHeight="1">
      <c r="A14" s="1">
        <v>213</v>
      </c>
      <c r="B14" s="135">
        <v>218850</v>
      </c>
      <c r="C14" s="18">
        <f>'свод '!F23+'свод '!F41</f>
        <v>218850</v>
      </c>
      <c r="D14" s="18">
        <f>B14-C14</f>
        <v>0</v>
      </c>
    </row>
    <row r="15" spans="1:4" ht="13.5" customHeight="1">
      <c r="A15" s="1">
        <v>221</v>
      </c>
      <c r="B15" s="135">
        <v>19449</v>
      </c>
      <c r="C15" s="18">
        <f>'свод '!F103</f>
        <v>19449</v>
      </c>
      <c r="D15" s="18">
        <f t="shared" si="0"/>
        <v>0</v>
      </c>
    </row>
    <row r="16" spans="1:4" ht="13.5" customHeight="1">
      <c r="A16" s="1">
        <v>223</v>
      </c>
      <c r="B16" s="365">
        <v>995570</v>
      </c>
      <c r="C16" s="18">
        <f>'свод '!F146</f>
        <v>995570</v>
      </c>
      <c r="D16" s="18">
        <f t="shared" si="0"/>
        <v>0</v>
      </c>
    </row>
    <row r="17" spans="1:4" ht="13.5" customHeight="1">
      <c r="A17" s="1">
        <v>225</v>
      </c>
      <c r="B17" s="365">
        <v>108032</v>
      </c>
      <c r="C17" s="18">
        <f>'свод '!F49+'свод '!F50+'свод '!F51+'свод '!F52+'свод '!F53+'свод '!F54+'свод '!F56+'свод '!F57+'свод '!F58+'свод '!F59</f>
        <v>108032</v>
      </c>
      <c r="D17" s="18">
        <f t="shared" si="0"/>
        <v>0</v>
      </c>
    </row>
    <row r="18" spans="1:4" ht="13.5" customHeight="1">
      <c r="A18" s="1">
        <v>226</v>
      </c>
      <c r="B18" s="365">
        <v>206401</v>
      </c>
      <c r="C18" s="18">
        <f>'свод '!F55+'свод '!F117</f>
        <v>206401</v>
      </c>
      <c r="D18" s="18">
        <f t="shared" si="0"/>
        <v>0</v>
      </c>
    </row>
    <row r="19" spans="1:4" ht="13.5" customHeight="1">
      <c r="A19" s="1">
        <v>290</v>
      </c>
      <c r="B19" s="365">
        <v>238547</v>
      </c>
      <c r="C19" s="18">
        <f>'свод '!F157</f>
        <v>238547</v>
      </c>
      <c r="D19" s="18">
        <f t="shared" si="0"/>
        <v>0</v>
      </c>
    </row>
    <row r="20" spans="1:4" ht="13.5" customHeight="1">
      <c r="A20" s="1">
        <v>340</v>
      </c>
      <c r="B20" s="135">
        <v>290700</v>
      </c>
      <c r="C20" s="18">
        <f>'прил.3'!E82</f>
        <v>290700</v>
      </c>
      <c r="D20" s="18">
        <f t="shared" si="0"/>
        <v>0</v>
      </c>
    </row>
    <row r="22" ht="12.75">
      <c r="C22" s="33"/>
    </row>
    <row r="24" spans="1:3" ht="15">
      <c r="A24" s="489" t="s">
        <v>450</v>
      </c>
      <c r="B24" s="261"/>
      <c r="C24" s="261" t="s">
        <v>220</v>
      </c>
    </row>
    <row r="25" spans="1:3" ht="15">
      <c r="A25" s="261"/>
      <c r="B25" s="261"/>
      <c r="C25" s="261"/>
    </row>
    <row r="26" spans="1:3" ht="15">
      <c r="A26" s="391" t="s">
        <v>451</v>
      </c>
      <c r="B26" s="261"/>
      <c r="C26" s="261" t="s">
        <v>221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Абсалямова</dc:creator>
  <cp:keywords/>
  <dc:description/>
  <cp:lastModifiedBy>111</cp:lastModifiedBy>
  <cp:lastPrinted>2015-01-20T12:05:09Z</cp:lastPrinted>
  <dcterms:created xsi:type="dcterms:W3CDTF">2011-03-16T08:18:32Z</dcterms:created>
  <dcterms:modified xsi:type="dcterms:W3CDTF">2015-01-22T05:36:39Z</dcterms:modified>
  <cp:category/>
  <cp:version/>
  <cp:contentType/>
  <cp:contentStatus/>
</cp:coreProperties>
</file>